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workbookProtection workbookPassword="F31D" lockStructure="1"/>
  <bookViews>
    <workbookView xWindow="0" yWindow="0" windowWidth="23040" windowHeight="9684" tabRatio="771" firstSheet="6" activeTab="13"/>
  </bookViews>
  <sheets>
    <sheet name="0. dropdown 1" sheetId="27" state="hidden" r:id="rId1"/>
    <sheet name="0. dropdown 2" sheetId="28" state="hidden" r:id="rId2"/>
    <sheet name="0. Heat loss data" sheetId="21" state="hidden" r:id="rId3"/>
    <sheet name="Drop Down Menu Data" sheetId="8" state="hidden" r:id="rId4"/>
    <sheet name="0. Wood Heating Value Data" sheetId="19" state="hidden" r:id="rId5"/>
    <sheet name="0. dropdown 3" sheetId="29" state="hidden" r:id="rId6"/>
    <sheet name="Menu" sheetId="30" r:id="rId7"/>
    <sheet name="1.Climate Data" sheetId="1" r:id="rId8"/>
    <sheet name="2.Energy Consumption" sheetId="20" r:id="rId9"/>
    <sheet name="3.Heat Loss &amp; Cost" sheetId="22" r:id="rId10"/>
    <sheet name="4.Thermal Mass Calculator" sheetId="26" r:id="rId11"/>
    <sheet name="5.Light Design" sheetId="24" r:id="rId12"/>
    <sheet name="6.SH&amp;C Design" sheetId="23" r:id="rId13"/>
    <sheet name="Report" sheetId="25" r:id="rId14"/>
    <sheet name="Unit Conversion Sheet" sheetId="18" state="hidden" r:id="rId15"/>
  </sheets>
  <definedNames>
    <definedName name="Dh">'6.SH&amp;C Design'!$E$8</definedName>
    <definedName name="eps">'6.SH&amp;C Design'!$E$7</definedName>
    <definedName name="f">'6.SH&amp;C Design'!$E$14</definedName>
    <definedName name="Re">'6.SH&amp;C Design'!#REF!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4" i="1" l="1"/>
  <c r="N24" i="1"/>
  <c r="M24" i="1"/>
  <c r="L24" i="1"/>
  <c r="K24" i="1"/>
  <c r="J24" i="1"/>
  <c r="I24" i="1"/>
  <c r="H24" i="1"/>
  <c r="G24" i="1"/>
  <c r="F24" i="1"/>
  <c r="E24" i="1"/>
  <c r="D24" i="1"/>
  <c r="O3" i="28" l="1"/>
  <c r="O4" i="28"/>
  <c r="O5" i="28"/>
  <c r="O6" i="28"/>
  <c r="O7" i="28"/>
  <c r="O8" i="28"/>
  <c r="O9" i="28"/>
  <c r="O10" i="28"/>
  <c r="O11" i="28"/>
  <c r="O12" i="28"/>
  <c r="O13" i="28"/>
  <c r="O14" i="28"/>
  <c r="O15" i="28"/>
  <c r="O16" i="28"/>
  <c r="O17" i="28"/>
  <c r="O18" i="28"/>
  <c r="O19" i="28"/>
  <c r="O20" i="28"/>
  <c r="O21" i="28"/>
  <c r="O22" i="28"/>
  <c r="O23" i="28"/>
  <c r="O24" i="28"/>
  <c r="O25" i="28"/>
  <c r="O26" i="28"/>
  <c r="O27" i="28"/>
  <c r="O28" i="28"/>
  <c r="O2" i="28"/>
  <c r="K2" i="28"/>
  <c r="K3" i="28"/>
  <c r="K4" i="28"/>
  <c r="K5" i="28"/>
  <c r="K6" i="28"/>
  <c r="K7" i="28"/>
  <c r="K8" i="28"/>
  <c r="K9" i="28"/>
  <c r="K10" i="28"/>
  <c r="K11" i="28"/>
  <c r="K12" i="28"/>
  <c r="K13" i="28"/>
  <c r="K14" i="28"/>
  <c r="K15" i="28"/>
  <c r="K16" i="28"/>
  <c r="K17" i="28"/>
  <c r="K18" i="28"/>
  <c r="K19" i="28"/>
  <c r="K20" i="28"/>
  <c r="K21" i="28"/>
  <c r="K22" i="28"/>
  <c r="K23" i="28"/>
  <c r="K24" i="28"/>
  <c r="K25" i="28"/>
  <c r="P27" i="28" l="1"/>
  <c r="P19" i="28"/>
  <c r="P3" i="28"/>
  <c r="P18" i="28"/>
  <c r="P25" i="28"/>
  <c r="P17" i="28"/>
  <c r="P9" i="28"/>
  <c r="P24" i="28"/>
  <c r="P16" i="28"/>
  <c r="P8" i="28"/>
  <c r="P11" i="28"/>
  <c r="P26" i="28"/>
  <c r="P10" i="28"/>
  <c r="P23" i="28"/>
  <c r="P15" i="28"/>
  <c r="P7" i="28"/>
  <c r="P2" i="28"/>
  <c r="P22" i="28"/>
  <c r="P14" i="28"/>
  <c r="P6" i="28"/>
  <c r="P21" i="28"/>
  <c r="P13" i="28"/>
  <c r="P5" i="28"/>
  <c r="P28" i="28"/>
  <c r="P20" i="28"/>
  <c r="P12" i="28"/>
  <c r="P4" i="28"/>
  <c r="C42" i="25" l="1"/>
  <c r="C51" i="25"/>
  <c r="C4" i="29" l="1"/>
  <c r="C5" i="29"/>
  <c r="C6" i="29"/>
  <c r="C7" i="29"/>
  <c r="C8" i="29"/>
  <c r="C9" i="29"/>
  <c r="C10" i="29"/>
  <c r="C11" i="29"/>
  <c r="C12" i="29"/>
  <c r="C3" i="29"/>
  <c r="G53" i="8" l="1"/>
  <c r="I53" i="8"/>
  <c r="G54" i="8"/>
  <c r="I54" i="8"/>
  <c r="G55" i="8"/>
  <c r="I55" i="8"/>
  <c r="G56" i="8"/>
  <c r="I56" i="8"/>
  <c r="G57" i="8"/>
  <c r="I57" i="8"/>
  <c r="G58" i="8"/>
  <c r="I58" i="8"/>
  <c r="G59" i="8"/>
  <c r="I59" i="8"/>
  <c r="G60" i="8"/>
  <c r="I60" i="8"/>
  <c r="G61" i="8"/>
  <c r="I61" i="8"/>
  <c r="S5" i="21"/>
  <c r="S6" i="21"/>
  <c r="S7" i="21"/>
  <c r="S8" i="21"/>
  <c r="S9" i="21"/>
  <c r="S10" i="21"/>
  <c r="S11" i="21"/>
  <c r="S12" i="21"/>
  <c r="S4" i="21"/>
  <c r="U5" i="21"/>
  <c r="U6" i="21"/>
  <c r="U7" i="21"/>
  <c r="U8" i="21"/>
  <c r="U9" i="21"/>
  <c r="U10" i="21"/>
  <c r="U11" i="21"/>
  <c r="U12" i="21"/>
  <c r="U4" i="21"/>
  <c r="E59" i="28" l="1"/>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E90" i="28"/>
  <c r="E91" i="28"/>
  <c r="E92" i="28"/>
  <c r="E93" i="28"/>
  <c r="E94" i="28"/>
  <c r="E95" i="28"/>
  <c r="E96" i="28"/>
  <c r="E97" i="28"/>
  <c r="E98" i="28"/>
  <c r="E99" i="28"/>
  <c r="E100" i="28"/>
  <c r="E101" i="28"/>
  <c r="E102" i="28"/>
  <c r="E103" i="28"/>
  <c r="E104" i="28"/>
  <c r="E105" i="28"/>
  <c r="E106" i="28"/>
  <c r="E107" i="28"/>
  <c r="E108" i="28"/>
  <c r="E109" i="28"/>
  <c r="E110" i="28"/>
  <c r="E111" i="28"/>
  <c r="E112" i="28"/>
  <c r="E113" i="28"/>
  <c r="E114" i="28"/>
  <c r="E115" i="28"/>
  <c r="E3" i="28"/>
  <c r="E4" i="28"/>
  <c r="E5" i="28"/>
  <c r="E6" i="28"/>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2" i="28"/>
  <c r="H61" i="20"/>
  <c r="H60" i="20"/>
  <c r="H59" i="20"/>
  <c r="H58" i="20"/>
  <c r="H57" i="20"/>
  <c r="H56" i="20"/>
  <c r="H55" i="20"/>
  <c r="H54" i="20"/>
  <c r="H53" i="20"/>
  <c r="H52" i="20"/>
  <c r="H44" i="20"/>
  <c r="H43" i="20"/>
  <c r="H42" i="20"/>
  <c r="H41" i="20"/>
  <c r="H40" i="20"/>
  <c r="H39" i="20"/>
  <c r="H38" i="20"/>
  <c r="H37" i="20"/>
  <c r="H36" i="20"/>
  <c r="H35" i="20"/>
  <c r="L53" i="20"/>
  <c r="L54" i="20"/>
  <c r="L55" i="20"/>
  <c r="L56" i="20"/>
  <c r="L57" i="20"/>
  <c r="L58" i="20"/>
  <c r="L59" i="20"/>
  <c r="L60" i="20"/>
  <c r="L61" i="20"/>
  <c r="L52" i="20"/>
  <c r="L36" i="20"/>
  <c r="L37" i="20"/>
  <c r="L38" i="20"/>
  <c r="L39" i="20"/>
  <c r="L40" i="20"/>
  <c r="L41" i="20"/>
  <c r="L42" i="20"/>
  <c r="L43" i="20"/>
  <c r="L44" i="20"/>
  <c r="L35" i="20"/>
  <c r="L19" i="20"/>
  <c r="L20" i="20"/>
  <c r="L21" i="20"/>
  <c r="L22" i="20"/>
  <c r="L23" i="20"/>
  <c r="L24" i="20"/>
  <c r="L25" i="20"/>
  <c r="L26" i="20"/>
  <c r="L27" i="20"/>
  <c r="L18" i="20"/>
  <c r="H19" i="20"/>
  <c r="H20" i="20"/>
  <c r="H21" i="20"/>
  <c r="H22" i="20"/>
  <c r="H23" i="20"/>
  <c r="H24" i="20"/>
  <c r="H25" i="20"/>
  <c r="H26" i="20"/>
  <c r="H27" i="20"/>
  <c r="H18" i="20"/>
  <c r="R10" i="1"/>
  <c r="R11" i="1"/>
  <c r="R12" i="1"/>
  <c r="R13" i="1"/>
  <c r="R14" i="1"/>
  <c r="R15" i="1"/>
  <c r="R16" i="1"/>
  <c r="R17" i="1"/>
  <c r="R18" i="1"/>
  <c r="R19" i="1"/>
  <c r="R9" i="1"/>
  <c r="Q10" i="1"/>
  <c r="Q11" i="1"/>
  <c r="Q12" i="1"/>
  <c r="Q13" i="1"/>
  <c r="Q14" i="1"/>
  <c r="Q15" i="1"/>
  <c r="Q16" i="1"/>
  <c r="Q17" i="1"/>
  <c r="Q18" i="1"/>
  <c r="Q19" i="1"/>
  <c r="Q9" i="1"/>
  <c r="D6" i="1"/>
  <c r="V10" i="1" l="1"/>
  <c r="H94" i="8" l="1"/>
  <c r="W47" i="8" l="1"/>
  <c r="U47" i="8"/>
  <c r="W43" i="8"/>
  <c r="U43" i="8"/>
  <c r="W46" i="8"/>
  <c r="U46" i="8"/>
  <c r="W45" i="8"/>
  <c r="U45" i="8"/>
  <c r="W44" i="8"/>
  <c r="U44" i="8"/>
  <c r="W42" i="8"/>
  <c r="U42" i="8"/>
  <c r="W41" i="8"/>
  <c r="U41" i="8"/>
  <c r="W40" i="8"/>
  <c r="U40" i="8"/>
  <c r="W39" i="8"/>
  <c r="U39" i="8"/>
  <c r="E34" i="21"/>
  <c r="E33" i="21"/>
  <c r="E32" i="21"/>
  <c r="E31" i="21"/>
  <c r="E30" i="21"/>
  <c r="E29" i="21"/>
  <c r="E28" i="21"/>
  <c r="E27" i="21"/>
  <c r="E26" i="21"/>
  <c r="E25" i="21"/>
  <c r="E24" i="21"/>
  <c r="E23" i="21"/>
  <c r="M5" i="21"/>
  <c r="F76" i="20"/>
  <c r="I22" i="21"/>
  <c r="H67" i="8" l="1"/>
  <c r="H66" i="8"/>
  <c r="E67" i="8"/>
  <c r="I67" i="8" s="1"/>
  <c r="J67" i="8" s="1"/>
  <c r="E66" i="8"/>
  <c r="G66" i="8" s="1"/>
  <c r="Q66" i="8"/>
  <c r="Q65" i="8"/>
  <c r="F65" i="8"/>
  <c r="E65" i="8" s="1"/>
  <c r="I65" i="8" s="1"/>
  <c r="G67" i="8" l="1"/>
  <c r="G65" i="8"/>
  <c r="H65" i="8"/>
  <c r="J65" i="8"/>
  <c r="K65" i="8"/>
  <c r="I66" i="8"/>
  <c r="J66" i="8" s="1"/>
  <c r="R65" i="8"/>
  <c r="R66" i="8"/>
  <c r="S66" i="8" s="1"/>
  <c r="U66" i="8" s="1"/>
  <c r="L65" i="8" l="1"/>
  <c r="S65" i="8"/>
  <c r="U65" i="8" l="1"/>
  <c r="K28" i="8"/>
  <c r="K26" i="8"/>
  <c r="K27" i="8"/>
  <c r="K29" i="8"/>
  <c r="K30" i="8"/>
  <c r="K31" i="8"/>
  <c r="K32" i="8"/>
  <c r="K33" i="8"/>
  <c r="K34" i="8"/>
  <c r="K35" i="8"/>
  <c r="K36" i="8"/>
  <c r="K37" i="8"/>
  <c r="K38" i="8"/>
  <c r="K39" i="8"/>
  <c r="K40" i="8"/>
  <c r="K41" i="8"/>
  <c r="K42" i="8"/>
  <c r="K43" i="8"/>
  <c r="K44" i="8"/>
  <c r="K45" i="8"/>
  <c r="K46" i="8"/>
  <c r="K47" i="8"/>
  <c r="K48" i="8"/>
  <c r="K25" i="8"/>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2" i="19"/>
  <c r="E3" i="19" l="1"/>
  <c r="H3" i="19" s="1"/>
  <c r="E4" i="19"/>
  <c r="H4" i="19" s="1"/>
  <c r="E5" i="19"/>
  <c r="E6" i="19"/>
  <c r="E7" i="19"/>
  <c r="H7" i="19" s="1"/>
  <c r="E8" i="19"/>
  <c r="H8" i="19" s="1"/>
  <c r="E9" i="19"/>
  <c r="E10" i="19"/>
  <c r="H10" i="19" s="1"/>
  <c r="E11" i="19"/>
  <c r="E12" i="19"/>
  <c r="E13" i="19"/>
  <c r="E14" i="19"/>
  <c r="E15" i="19"/>
  <c r="H15" i="19" s="1"/>
  <c r="E16" i="19"/>
  <c r="H16" i="19" s="1"/>
  <c r="E17" i="19"/>
  <c r="E18" i="19"/>
  <c r="H18" i="19" s="1"/>
  <c r="E19" i="19"/>
  <c r="E20" i="19"/>
  <c r="E21" i="19"/>
  <c r="E22" i="19"/>
  <c r="E23" i="19"/>
  <c r="H23" i="19" s="1"/>
  <c r="E24" i="19"/>
  <c r="H24" i="19" s="1"/>
  <c r="E25" i="19"/>
  <c r="E26" i="19"/>
  <c r="H26" i="19" s="1"/>
  <c r="E27" i="19"/>
  <c r="E28" i="19"/>
  <c r="E29" i="19"/>
  <c r="E30" i="19"/>
  <c r="E31" i="19"/>
  <c r="H31" i="19" s="1"/>
  <c r="E32" i="19"/>
  <c r="H32" i="19" s="1"/>
  <c r="E33" i="19"/>
  <c r="E34" i="19"/>
  <c r="H34" i="19" s="1"/>
  <c r="E35" i="19"/>
  <c r="E36" i="19"/>
  <c r="E37" i="19"/>
  <c r="E38" i="19"/>
  <c r="E39" i="19"/>
  <c r="H39" i="19" s="1"/>
  <c r="E40" i="19"/>
  <c r="H40" i="19" s="1"/>
  <c r="E41" i="19"/>
  <c r="E42" i="19"/>
  <c r="H42" i="19" s="1"/>
  <c r="E43" i="19"/>
  <c r="E44" i="19"/>
  <c r="E45" i="19"/>
  <c r="E46" i="19"/>
  <c r="E47" i="19"/>
  <c r="H47" i="19" s="1"/>
  <c r="E48" i="19"/>
  <c r="H48" i="19" s="1"/>
  <c r="E49" i="19"/>
  <c r="E50" i="19"/>
  <c r="H50" i="19" s="1"/>
  <c r="E51" i="19"/>
  <c r="E52" i="19"/>
  <c r="E53" i="19"/>
  <c r="E54" i="19"/>
  <c r="E55" i="19"/>
  <c r="H55" i="19" s="1"/>
  <c r="E56" i="19"/>
  <c r="H56" i="19" s="1"/>
  <c r="E57" i="19"/>
  <c r="E58" i="19"/>
  <c r="H58" i="19" s="1"/>
  <c r="E59" i="19"/>
  <c r="E60" i="19"/>
  <c r="E61" i="19"/>
  <c r="E62" i="19"/>
  <c r="E63" i="19"/>
  <c r="H63" i="19" s="1"/>
  <c r="E64" i="19"/>
  <c r="H64" i="19" s="1"/>
  <c r="E65" i="19"/>
  <c r="E66" i="19"/>
  <c r="E67" i="19"/>
  <c r="E68" i="19"/>
  <c r="E69" i="19"/>
  <c r="E70" i="19"/>
  <c r="E71" i="19"/>
  <c r="E72" i="19"/>
  <c r="H72" i="19" s="1"/>
  <c r="E73" i="19"/>
  <c r="E74" i="19"/>
  <c r="E2" i="19"/>
  <c r="H2" i="19" s="1"/>
  <c r="E36" i="21"/>
  <c r="F24" i="21" s="1"/>
  <c r="E9" i="20"/>
  <c r="F72" i="19" l="1"/>
  <c r="G72" i="19" s="1"/>
  <c r="F24" i="19"/>
  <c r="G24" i="19" s="1"/>
  <c r="F16" i="19"/>
  <c r="G16" i="19" s="1"/>
  <c r="F64" i="19"/>
  <c r="G64" i="19" s="1"/>
  <c r="F2" i="19"/>
  <c r="G2" i="19" s="1"/>
  <c r="F56" i="19"/>
  <c r="G56" i="19" s="1"/>
  <c r="F4" i="19"/>
  <c r="G4" i="19" s="1"/>
  <c r="F47" i="19"/>
  <c r="G47" i="19" s="1"/>
  <c r="F74" i="19"/>
  <c r="G74" i="19" s="1"/>
  <c r="H74" i="19"/>
  <c r="F39" i="19"/>
  <c r="G39" i="19" s="1"/>
  <c r="F54" i="19"/>
  <c r="G54" i="19" s="1"/>
  <c r="H54" i="19"/>
  <c r="F38" i="19"/>
  <c r="G38" i="19" s="1"/>
  <c r="H38" i="19"/>
  <c r="F22" i="19"/>
  <c r="G22" i="19" s="1"/>
  <c r="H22" i="19"/>
  <c r="F6" i="19"/>
  <c r="G6" i="19" s="1"/>
  <c r="H6" i="19"/>
  <c r="F34" i="19"/>
  <c r="G34" i="19" s="1"/>
  <c r="F61" i="19"/>
  <c r="G61" i="19" s="1"/>
  <c r="H61" i="19"/>
  <c r="F67" i="19"/>
  <c r="G67" i="19" s="1"/>
  <c r="H67" i="19"/>
  <c r="F59" i="19"/>
  <c r="G59" i="19" s="1"/>
  <c r="H59" i="19"/>
  <c r="F51" i="19"/>
  <c r="G51" i="19" s="1"/>
  <c r="H51" i="19"/>
  <c r="F43" i="19"/>
  <c r="G43" i="19" s="1"/>
  <c r="H43" i="19"/>
  <c r="F35" i="19"/>
  <c r="G35" i="19" s="1"/>
  <c r="H35" i="19"/>
  <c r="F27" i="19"/>
  <c r="G27" i="19" s="1"/>
  <c r="H27" i="19"/>
  <c r="F19" i="19"/>
  <c r="G19" i="19" s="1"/>
  <c r="H19" i="19"/>
  <c r="F11" i="19"/>
  <c r="G11" i="19" s="1"/>
  <c r="H11" i="19"/>
  <c r="F48" i="19"/>
  <c r="G48" i="19" s="1"/>
  <c r="F26" i="19"/>
  <c r="G26" i="19" s="1"/>
  <c r="F7" i="19"/>
  <c r="G7" i="19" s="1"/>
  <c r="F66" i="19"/>
  <c r="G66" i="19" s="1"/>
  <c r="H66" i="19"/>
  <c r="F73" i="19"/>
  <c r="G73" i="19" s="1"/>
  <c r="H73" i="19"/>
  <c r="F65" i="19"/>
  <c r="G65" i="19" s="1"/>
  <c r="H65" i="19"/>
  <c r="F57" i="19"/>
  <c r="G57" i="19" s="1"/>
  <c r="H57" i="19"/>
  <c r="F49" i="19"/>
  <c r="G49" i="19" s="1"/>
  <c r="H49" i="19"/>
  <c r="F41" i="19"/>
  <c r="G41" i="19" s="1"/>
  <c r="H41" i="19"/>
  <c r="F33" i="19"/>
  <c r="G33" i="19" s="1"/>
  <c r="H33" i="19"/>
  <c r="F25" i="19"/>
  <c r="G25" i="19" s="1"/>
  <c r="H25" i="19"/>
  <c r="F17" i="19"/>
  <c r="G17" i="19" s="1"/>
  <c r="H17" i="19"/>
  <c r="F9" i="19"/>
  <c r="G9" i="19" s="1"/>
  <c r="H9" i="19"/>
  <c r="F42" i="19"/>
  <c r="G42" i="19" s="1"/>
  <c r="F23" i="19"/>
  <c r="G23" i="19" s="1"/>
  <c r="F63" i="19"/>
  <c r="G63" i="19" s="1"/>
  <c r="F40" i="19"/>
  <c r="G40" i="19" s="1"/>
  <c r="F18" i="19"/>
  <c r="G18" i="19" s="1"/>
  <c r="F3" i="19"/>
  <c r="G3" i="19" s="1"/>
  <c r="F58" i="19"/>
  <c r="G58" i="19" s="1"/>
  <c r="F70" i="19"/>
  <c r="G70" i="19" s="1"/>
  <c r="H70" i="19"/>
  <c r="F46" i="19"/>
  <c r="G46" i="19" s="1"/>
  <c r="H46" i="19"/>
  <c r="F14" i="19"/>
  <c r="G14" i="19" s="1"/>
  <c r="H14" i="19"/>
  <c r="F45" i="19"/>
  <c r="G45" i="19" s="1"/>
  <c r="H45" i="19"/>
  <c r="F13" i="19"/>
  <c r="G13" i="19" s="1"/>
  <c r="H13" i="19"/>
  <c r="F10" i="19"/>
  <c r="G10" i="19" s="1"/>
  <c r="F71" i="19"/>
  <c r="G71" i="19" s="1"/>
  <c r="H71" i="19"/>
  <c r="F62" i="19"/>
  <c r="G62" i="19" s="1"/>
  <c r="H62" i="19"/>
  <c r="F30" i="19"/>
  <c r="G30" i="19" s="1"/>
  <c r="H30" i="19"/>
  <c r="F15" i="19"/>
  <c r="G15" i="19" s="1"/>
  <c r="F69" i="19"/>
  <c r="G69" i="19" s="1"/>
  <c r="H69" i="19"/>
  <c r="F53" i="19"/>
  <c r="G53" i="19" s="1"/>
  <c r="H53" i="19"/>
  <c r="F37" i="19"/>
  <c r="G37" i="19" s="1"/>
  <c r="H37" i="19"/>
  <c r="F29" i="19"/>
  <c r="G29" i="19" s="1"/>
  <c r="H29" i="19"/>
  <c r="F21" i="19"/>
  <c r="G21" i="19" s="1"/>
  <c r="H21" i="19"/>
  <c r="F5" i="19"/>
  <c r="G5" i="19" s="1"/>
  <c r="H5" i="19"/>
  <c r="F55" i="19"/>
  <c r="G55" i="19" s="1"/>
  <c r="F32" i="19"/>
  <c r="G32" i="19" s="1"/>
  <c r="F68" i="19"/>
  <c r="G68" i="19" s="1"/>
  <c r="H68" i="19"/>
  <c r="F60" i="19"/>
  <c r="G60" i="19" s="1"/>
  <c r="H60" i="19"/>
  <c r="F52" i="19"/>
  <c r="G52" i="19" s="1"/>
  <c r="H52" i="19"/>
  <c r="F44" i="19"/>
  <c r="G44" i="19" s="1"/>
  <c r="H44" i="19"/>
  <c r="F36" i="19"/>
  <c r="G36" i="19" s="1"/>
  <c r="H36" i="19"/>
  <c r="F28" i="19"/>
  <c r="G28" i="19" s="1"/>
  <c r="H28" i="19"/>
  <c r="F20" i="19"/>
  <c r="G20" i="19" s="1"/>
  <c r="H20" i="19"/>
  <c r="F12" i="19"/>
  <c r="G12" i="19" s="1"/>
  <c r="H12" i="19"/>
  <c r="F50" i="19"/>
  <c r="G50" i="19" s="1"/>
  <c r="F31" i="19"/>
  <c r="G31" i="19" s="1"/>
  <c r="F8" i="19"/>
  <c r="G8" i="19" s="1"/>
  <c r="F31" i="21"/>
  <c r="F28" i="21"/>
  <c r="F23" i="21"/>
  <c r="F27" i="21"/>
  <c r="F34" i="21"/>
  <c r="F26" i="21"/>
  <c r="F29" i="21"/>
  <c r="F33" i="21"/>
  <c r="F25" i="21"/>
  <c r="F30" i="21"/>
  <c r="F32" i="21"/>
  <c r="G77" i="19" l="1"/>
  <c r="M8" i="21" s="1"/>
  <c r="G4" i="21"/>
  <c r="E8" i="20"/>
  <c r="I25" i="20" s="1"/>
  <c r="I71" i="20" l="1"/>
  <c r="I76" i="20"/>
  <c r="I88" i="20" s="1"/>
  <c r="I18" i="20"/>
  <c r="I40" i="20"/>
  <c r="I57" i="20"/>
  <c r="I59" i="20"/>
  <c r="I43" i="20"/>
  <c r="I44" i="20"/>
  <c r="I54" i="20"/>
  <c r="I58" i="20"/>
  <c r="I61" i="20"/>
  <c r="I38" i="20"/>
  <c r="I55" i="20"/>
  <c r="I52" i="20"/>
  <c r="I41" i="20"/>
  <c r="I42" i="20"/>
  <c r="I56" i="20"/>
  <c r="I36" i="20"/>
  <c r="I39" i="20"/>
  <c r="I35" i="20"/>
  <c r="I53" i="20"/>
  <c r="I37" i="20"/>
  <c r="I60" i="20"/>
  <c r="I19" i="20"/>
  <c r="I24" i="20"/>
  <c r="I21" i="20"/>
  <c r="I20" i="20"/>
  <c r="I22" i="20"/>
  <c r="I27" i="20"/>
  <c r="I23" i="20"/>
  <c r="I26" i="20"/>
  <c r="I87" i="20" l="1"/>
  <c r="I63" i="20"/>
  <c r="I46" i="20"/>
  <c r="I85" i="20" s="1"/>
  <c r="I29" i="20"/>
  <c r="I84" i="20" s="1"/>
  <c r="E20" i="8"/>
  <c r="E19" i="8"/>
  <c r="E18" i="8"/>
  <c r="E17" i="8"/>
  <c r="E16" i="8"/>
  <c r="E15" i="8"/>
  <c r="I86" i="20" l="1"/>
  <c r="I91" i="20"/>
  <c r="E73" i="8" l="1"/>
  <c r="E34" i="22" l="1"/>
  <c r="G34" i="22" l="1"/>
  <c r="J91" i="20"/>
  <c r="J71" i="20" s="1"/>
  <c r="J87" i="20" s="1"/>
  <c r="H34" i="22"/>
  <c r="J34" i="22"/>
  <c r="K34" i="22"/>
  <c r="J23" i="20" l="1"/>
  <c r="J21" i="20"/>
  <c r="J39" i="20"/>
  <c r="J19" i="20"/>
  <c r="J37" i="20"/>
  <c r="J52" i="20"/>
  <c r="J58" i="20"/>
  <c r="J36" i="20"/>
  <c r="J60" i="20"/>
  <c r="J35" i="20"/>
  <c r="J22" i="20"/>
  <c r="J42" i="20"/>
  <c r="J20" i="20"/>
  <c r="J41" i="20"/>
  <c r="J18" i="20"/>
  <c r="J53" i="20"/>
  <c r="J25" i="20"/>
  <c r="J38" i="20"/>
  <c r="J56" i="20"/>
  <c r="J54" i="20"/>
  <c r="J26" i="20"/>
  <c r="J40" i="20"/>
  <c r="J57" i="20"/>
  <c r="J27" i="20"/>
  <c r="J43" i="20"/>
  <c r="J55" i="20"/>
  <c r="J76" i="20"/>
  <c r="J24" i="20"/>
  <c r="J44" i="20"/>
  <c r="J61" i="20"/>
  <c r="J59" i="20"/>
  <c r="E36" i="22"/>
  <c r="J46" i="20" l="1"/>
  <c r="J85" i="20" s="1"/>
  <c r="J29" i="20"/>
  <c r="J84" i="20" s="1"/>
  <c r="J88" i="20"/>
  <c r="J63" i="20"/>
  <c r="J86" i="20" l="1"/>
</calcChain>
</file>

<file path=xl/sharedStrings.xml><?xml version="1.0" encoding="utf-8"?>
<sst xmlns="http://schemas.openxmlformats.org/spreadsheetml/2006/main" count="1093" uniqueCount="605">
  <si>
    <t>March</t>
  </si>
  <si>
    <t>April</t>
  </si>
  <si>
    <t>May</t>
  </si>
  <si>
    <t>June</t>
  </si>
  <si>
    <t>July</t>
  </si>
  <si>
    <t>Month</t>
  </si>
  <si>
    <t>Total</t>
  </si>
  <si>
    <t>January</t>
  </si>
  <si>
    <t>February</t>
  </si>
  <si>
    <t>August</t>
  </si>
  <si>
    <t>September</t>
  </si>
  <si>
    <t>November</t>
  </si>
  <si>
    <t>December</t>
  </si>
  <si>
    <t>Climate Type</t>
  </si>
  <si>
    <t>Cool Humid</t>
  </si>
  <si>
    <t>Cool Dry</t>
  </si>
  <si>
    <t>Warm Humid</t>
  </si>
  <si>
    <t>Warm Dry</t>
  </si>
  <si>
    <t>Hot Humid</t>
  </si>
  <si>
    <t>Hot Dry</t>
  </si>
  <si>
    <t>mm/week</t>
  </si>
  <si>
    <t>Litres/week/m2</t>
  </si>
  <si>
    <t>Weekly Evaporation Table</t>
  </si>
  <si>
    <t>Heating Degree Days</t>
  </si>
  <si>
    <t>Inches</t>
  </si>
  <si>
    <t xml:space="preserve"> </t>
  </si>
  <si>
    <t>Percentage  Drop Down</t>
  </si>
  <si>
    <t>Cool</t>
  </si>
  <si>
    <t>Multiply</t>
  </si>
  <si>
    <t>By</t>
  </si>
  <si>
    <t>To obtain</t>
  </si>
  <si>
    <t>Cubic yards</t>
  </si>
  <si>
    <t>Gallons</t>
  </si>
  <si>
    <t>Feet</t>
  </si>
  <si>
    <t>Centimeters</t>
  </si>
  <si>
    <t>Meters</t>
  </si>
  <si>
    <t>Feet of water</t>
  </si>
  <si>
    <t>Pounds/square foot</t>
  </si>
  <si>
    <t>Pounds/square inch</t>
  </si>
  <si>
    <t>Cubic centimeters</t>
  </si>
  <si>
    <t>Cubic feet</t>
  </si>
  <si>
    <t>Liters</t>
  </si>
  <si>
    <t>Gallons water</t>
  </si>
  <si>
    <t>Pounds of water</t>
  </si>
  <si>
    <t>Gallons/minute</t>
  </si>
  <si>
    <r>
      <t>2.228 x 10⁻</t>
    </r>
    <r>
      <rPr>
        <sz val="10"/>
        <rFont val="Calibri"/>
        <family val="2"/>
      </rPr>
      <t>³</t>
    </r>
  </si>
  <si>
    <t>Cubic feet/second</t>
  </si>
  <si>
    <t>Gallons/day</t>
  </si>
  <si>
    <t>Liters/second</t>
  </si>
  <si>
    <r>
      <t>6.944 x 10</t>
    </r>
    <r>
      <rPr>
        <sz val="10"/>
        <rFont val="Calibri"/>
        <family val="2"/>
      </rPr>
      <t>⁻⁴</t>
    </r>
  </si>
  <si>
    <t>Gallons/day/square foot</t>
  </si>
  <si>
    <t>Inches/day</t>
  </si>
  <si>
    <t>Grams</t>
  </si>
  <si>
    <t>2.205 x 10⁻³</t>
  </si>
  <si>
    <t>Pounds</t>
  </si>
  <si>
    <t>Grams/liter</t>
  </si>
  <si>
    <t>Parts/million</t>
  </si>
  <si>
    <t>Hectares</t>
  </si>
  <si>
    <t>Acres</t>
  </si>
  <si>
    <t>Horsepower</t>
  </si>
  <si>
    <t>Foot-pounds/minute</t>
  </si>
  <si>
    <t>Kilowatts</t>
  </si>
  <si>
    <t>Kilograms</t>
  </si>
  <si>
    <t>Kilowatt-hours</t>
  </si>
  <si>
    <r>
      <t>2.655 x 10</t>
    </r>
    <r>
      <rPr>
        <sz val="10"/>
        <color theme="1"/>
        <rFont val="Calibri"/>
        <family val="2"/>
      </rPr>
      <t>⁶</t>
    </r>
  </si>
  <si>
    <t>Foot-pounds</t>
  </si>
  <si>
    <t>Milligrams/liters</t>
  </si>
  <si>
    <t>Million gallons/day</t>
  </si>
  <si>
    <t>Pounds/million gallons</t>
  </si>
  <si>
    <t>Inches of mercury</t>
  </si>
  <si>
    <t>Temperature. (°C) +.17.78</t>
  </si>
  <si>
    <t>Temperature (°F)</t>
  </si>
  <si>
    <t>Temperature (°F) - 32</t>
  </si>
  <si>
    <t>5/9</t>
  </si>
  <si>
    <t>Temperature (°C)</t>
  </si>
  <si>
    <t>Horizontal</t>
  </si>
  <si>
    <t>Vertical</t>
  </si>
  <si>
    <t>BTU</t>
  </si>
  <si>
    <t>ft3</t>
  </si>
  <si>
    <t>Infilatration Losses</t>
  </si>
  <si>
    <t>Tight</t>
  </si>
  <si>
    <t>Leaky</t>
  </si>
  <si>
    <t>Translation</t>
  </si>
  <si>
    <t xml:space="preserve">cp </t>
  </si>
  <si>
    <t>ρ</t>
  </si>
  <si>
    <t>Air Properties</t>
  </si>
  <si>
    <t>Imp</t>
  </si>
  <si>
    <t>SI</t>
  </si>
  <si>
    <t>kg/m3</t>
  </si>
  <si>
    <t>KJ/kgK</t>
  </si>
  <si>
    <t>slug/cuft</t>
  </si>
  <si>
    <t>Btu/lbft</t>
  </si>
  <si>
    <t>October</t>
  </si>
  <si>
    <t>Degree Days</t>
  </si>
  <si>
    <t>Fraction</t>
  </si>
  <si>
    <t>BTU/Hr</t>
  </si>
  <si>
    <t>Fuel Drop Down Menu</t>
  </si>
  <si>
    <t>Osage Orange (Hedge)</t>
  </si>
  <si>
    <t>Maclura pomifera</t>
  </si>
  <si>
    <t>Hop Hornbeam (Ironwood)</t>
  </si>
  <si>
    <t>Ostrya virginiana</t>
  </si>
  <si>
    <t>Persimmon, American</t>
  </si>
  <si>
    <t>Diospyros virginiana</t>
  </si>
  <si>
    <t>Hickory, Shagbark</t>
  </si>
  <si>
    <t>Carya ovata</t>
  </si>
  <si>
    <t>Dogwood, Pacific</t>
  </si>
  <si>
    <t>Cornus nuttallii</t>
  </si>
  <si>
    <t>Holly, American</t>
  </si>
  <si>
    <t>Ilex Opaca</t>
  </si>
  <si>
    <t>Birch, Black</t>
  </si>
  <si>
    <t>Betula lenta</t>
  </si>
  <si>
    <t>Oak, White</t>
  </si>
  <si>
    <t>Quercus alba</t>
  </si>
  <si>
    <t>Beech, Blue (Ironwood)</t>
  </si>
  <si>
    <t>Carpinus caroliniana</t>
  </si>
  <si>
    <t>Hickory, Bitternut</t>
  </si>
  <si>
    <t>Carya cordiformis</t>
  </si>
  <si>
    <t>Locust, Honey</t>
  </si>
  <si>
    <t>Gleditsia triacanthos</t>
  </si>
  <si>
    <t>Madrone, Pacific (Arbutus)</t>
  </si>
  <si>
    <t>Arbutus menziesii</t>
  </si>
  <si>
    <t>Oak, Post</t>
  </si>
  <si>
    <t>Quercus stellata</t>
  </si>
  <si>
    <t>Locust, Black</t>
  </si>
  <si>
    <t>Robinia pseudoacacia</t>
  </si>
  <si>
    <t>Maple, Sugar</t>
  </si>
  <si>
    <t>Acer saccharum</t>
  </si>
  <si>
    <t>Mulberry</t>
  </si>
  <si>
    <t>Morus rubra</t>
  </si>
  <si>
    <t>Beech, American</t>
  </si>
  <si>
    <t>Fagus grandifolia</t>
  </si>
  <si>
    <t>Oak, Bur (Mossycup)</t>
  </si>
  <si>
    <t>Quercus macrocarpa</t>
  </si>
  <si>
    <t>Oak, Oregon (Garry)</t>
  </si>
  <si>
    <t>Quercus garryana</t>
  </si>
  <si>
    <t>Birch, Yellow</t>
  </si>
  <si>
    <t>Betula alleghaniensis</t>
  </si>
  <si>
    <t>Oak, Red</t>
  </si>
  <si>
    <t>Quercus rubra</t>
  </si>
  <si>
    <t>Apple</t>
  </si>
  <si>
    <t>Malus domestica</t>
  </si>
  <si>
    <t>Ash, White</t>
  </si>
  <si>
    <t>Fraxinus americana</t>
  </si>
  <si>
    <t>Myrtle, Oregon (Pepperwood)</t>
  </si>
  <si>
    <t>Umbellularia californica</t>
  </si>
  <si>
    <t>Ash, Green</t>
  </si>
  <si>
    <t>Fraxinus pennsylvanica</t>
  </si>
  <si>
    <t>Maple, Black</t>
  </si>
  <si>
    <t>Acer nigrum</t>
  </si>
  <si>
    <t>Ash, Oregon</t>
  </si>
  <si>
    <t>Fraxinus latifolia</t>
  </si>
  <si>
    <t>Birch, White (Paper)</t>
  </si>
  <si>
    <t>Betula papyrifera</t>
  </si>
  <si>
    <t>Maple, Red</t>
  </si>
  <si>
    <t>Acer rubrum</t>
  </si>
  <si>
    <t>Walnut, Black</t>
  </si>
  <si>
    <t>Juglans nigra</t>
  </si>
  <si>
    <t>Birch, Gray</t>
  </si>
  <si>
    <t>Betula populifolia</t>
  </si>
  <si>
    <t>Cherry, Black</t>
  </si>
  <si>
    <t>Prunus serotina</t>
  </si>
  <si>
    <t>Hackberry</t>
  </si>
  <si>
    <t>Celtis occidentalis</t>
  </si>
  <si>
    <t>Juniper, Rocky Mtn</t>
  </si>
  <si>
    <t>Juniperus scopulorum</t>
  </si>
  <si>
    <t>Tamarack (Larch)</t>
  </si>
  <si>
    <t>Larix laricina</t>
  </si>
  <si>
    <t>Coffeetree, Kentucky</t>
  </si>
  <si>
    <t>Gymnocladus dioicus</t>
  </si>
  <si>
    <t>Elm, Red</t>
  </si>
  <si>
    <t>Ulmus rubra</t>
  </si>
  <si>
    <t>Sorrel (Sourwood)</t>
  </si>
  <si>
    <t>Oxydendrum arboreum</t>
  </si>
  <si>
    <t>Elm, American</t>
  </si>
  <si>
    <t>Ulmus americana</t>
  </si>
  <si>
    <t>Eucalyptus (Red Gum)</t>
  </si>
  <si>
    <t>Eucalyptus camaldulensis</t>
  </si>
  <si>
    <t>Ash, Black</t>
  </si>
  <si>
    <t>Fraxinus nigra</t>
  </si>
  <si>
    <t>Boxelder (Maple Ash)</t>
  </si>
  <si>
    <t>Acer negundo</t>
  </si>
  <si>
    <t>Elm, White (Russian)</t>
  </si>
  <si>
    <t>Ulmus laevis</t>
  </si>
  <si>
    <t>Maple, Big Leaf</t>
  </si>
  <si>
    <t>Acer macrophyllum</t>
  </si>
  <si>
    <t>Pine, Norway (Red)</t>
  </si>
  <si>
    <t>Pinus resinosa</t>
  </si>
  <si>
    <t>Sycamore, American</t>
  </si>
  <si>
    <t>Platanus occidentalis</t>
  </si>
  <si>
    <t>Fir, Douglas</t>
  </si>
  <si>
    <t>Pseudotsuga menziesii</t>
  </si>
  <si>
    <t>Maple, Silver</t>
  </si>
  <si>
    <t>Acer saccharinum</t>
  </si>
  <si>
    <t>Compressed Sawdust Logs *</t>
  </si>
  <si>
    <t>Firelog</t>
  </si>
  <si>
    <t>Pine, Pitch</t>
  </si>
  <si>
    <t>Pinus rigida</t>
  </si>
  <si>
    <t>Hemlock</t>
  </si>
  <si>
    <t>Pinaceae tsuga</t>
  </si>
  <si>
    <t>Pine, Lodgepole</t>
  </si>
  <si>
    <t>Pinus contora latifolia</t>
  </si>
  <si>
    <t>Spruce, Black</t>
  </si>
  <si>
    <t>Picea mariana</t>
  </si>
  <si>
    <t>Alder, Red or White</t>
  </si>
  <si>
    <t>Alnus rubra or rhombifolia</t>
  </si>
  <si>
    <t>Catalpa (Catawba)</t>
  </si>
  <si>
    <t>Catalpa speciosa</t>
  </si>
  <si>
    <t>Pine, Jack (Canadian)</t>
  </si>
  <si>
    <t>Pinus banksiana</t>
  </si>
  <si>
    <t>Pine, Ponderosa</t>
  </si>
  <si>
    <t>Pinus ponderosa</t>
  </si>
  <si>
    <t>Spruce, Sitka</t>
  </si>
  <si>
    <t>Picea sitchensis</t>
  </si>
  <si>
    <t>Pine, White (Idaho)</t>
  </si>
  <si>
    <t>Pinus monticola</t>
  </si>
  <si>
    <t>Fir, Concolor (White)</t>
  </si>
  <si>
    <t>Abies concolor</t>
  </si>
  <si>
    <t>Willow</t>
  </si>
  <si>
    <t>Salix</t>
  </si>
  <si>
    <t>Aspen, American (Poplar)</t>
  </si>
  <si>
    <t>Populus tremuloides</t>
  </si>
  <si>
    <t>Basswood (Linden)</t>
  </si>
  <si>
    <t>Tilia americana</t>
  </si>
  <si>
    <t>Butternut (White Walnut)</t>
  </si>
  <si>
    <t>Juglans cinerea</t>
  </si>
  <si>
    <t>Fir, Balsam</t>
  </si>
  <si>
    <t>Abies balsamea</t>
  </si>
  <si>
    <t>Pine, White (Eastern)</t>
  </si>
  <si>
    <t>Pinus strobus</t>
  </si>
  <si>
    <t>Cottonwood (Balsam Poplar)</t>
  </si>
  <si>
    <t>Populus trichocarpa</t>
  </si>
  <si>
    <t>Buckeye, Ohio</t>
  </si>
  <si>
    <t>Aesculus glabra</t>
  </si>
  <si>
    <t>Cedar, Eastern (Redcedar)</t>
  </si>
  <si>
    <t>Juniperus virginiana</t>
  </si>
  <si>
    <t>Spruce, Engelmann</t>
  </si>
  <si>
    <t>Picea engelmannii</t>
  </si>
  <si>
    <t>Cedar, White (Whitecedar)</t>
  </si>
  <si>
    <t>Thuja occidentalis</t>
  </si>
  <si>
    <t>Bamboo</t>
  </si>
  <si>
    <t>Poaceae bambusoideae</t>
  </si>
  <si>
    <t>Balsa</t>
  </si>
  <si>
    <t>Ochroma pyramidale</t>
  </si>
  <si>
    <t>Common Name</t>
  </si>
  <si>
    <t>Latin Name</t>
  </si>
  <si>
    <t>Pounds/Cord</t>
  </si>
  <si>
    <t>MBTU/Cord</t>
  </si>
  <si>
    <t>Unit of Measure</t>
  </si>
  <si>
    <t>kWhrs</t>
  </si>
  <si>
    <t>MBTU/Ton</t>
  </si>
  <si>
    <t>Therm</t>
  </si>
  <si>
    <t>MCF</t>
  </si>
  <si>
    <t>Gallon</t>
  </si>
  <si>
    <t>BTUs/Unit</t>
  </si>
  <si>
    <t>CCF</t>
  </si>
  <si>
    <t>Tons/Cord</t>
  </si>
  <si>
    <t>1 ton</t>
  </si>
  <si>
    <t>lbs</t>
  </si>
  <si>
    <t>BTU/Ton</t>
  </si>
  <si>
    <t>1 MBTU</t>
  </si>
  <si>
    <t>Equals</t>
  </si>
  <si>
    <t>Electricity (Kwhrs)</t>
  </si>
  <si>
    <t>Oil (Gallon)</t>
  </si>
  <si>
    <t>Cost/Kwhr ($)</t>
  </si>
  <si>
    <t>Cost/Therm ($)</t>
  </si>
  <si>
    <t>Cost/CCF ($)</t>
  </si>
  <si>
    <t>Cost/MCF ($)</t>
  </si>
  <si>
    <t>Cost/Gallon ($)</t>
  </si>
  <si>
    <t>Cost/Ton ($)</t>
  </si>
  <si>
    <t>BTU/Therm</t>
  </si>
  <si>
    <t>BTU/CCF</t>
  </si>
  <si>
    <t>BTU/MCF</t>
  </si>
  <si>
    <t>BTU/Gallon</t>
  </si>
  <si>
    <t>BTU/Kwhr</t>
  </si>
  <si>
    <t>Wood (Tons)</t>
  </si>
  <si>
    <t>Cords/Ton</t>
  </si>
  <si>
    <t>Wood (Cords)</t>
  </si>
  <si>
    <t>BTU/Cord</t>
  </si>
  <si>
    <t>Cost/Cord ($)</t>
  </si>
  <si>
    <t>Air Changes per hour</t>
  </si>
  <si>
    <t>ft</t>
  </si>
  <si>
    <t>CFM</t>
  </si>
  <si>
    <t>Type of Light</t>
  </si>
  <si>
    <t>LED</t>
  </si>
  <si>
    <t>Pros</t>
  </si>
  <si>
    <t>Cons</t>
  </si>
  <si>
    <t>Smaller yields per watt than other types of grow lights in flowering stage of plants, LED and HPS will yielde 2-4 times as much per watt of power, light from flourecent will not penetrate down far into the plant so they are better suited to flat crops like greens. Not powerful enough to support tall plants in flowering stage like tomatos.</t>
  </si>
  <si>
    <t>Light Emitting Diode</t>
  </si>
  <si>
    <t>F</t>
  </si>
  <si>
    <t>T5</t>
  </si>
  <si>
    <t>CFL</t>
  </si>
  <si>
    <t>Acronym</t>
  </si>
  <si>
    <t>HID - MH</t>
  </si>
  <si>
    <t>HID - HPS</t>
  </si>
  <si>
    <t>Generate a lot of heat so may require ventiliation, this might also solve the additional heat requirement of the greenhouse, HID requires an external balast and some additional wires</t>
  </si>
  <si>
    <t xml:space="preserve">Larger LED's may still need venting, </t>
  </si>
  <si>
    <t>Power Needed</t>
  </si>
  <si>
    <t>Watts/ft2</t>
  </si>
  <si>
    <t>Lifespan</t>
  </si>
  <si>
    <t>Hours</t>
  </si>
  <si>
    <t>Distance from plants</t>
  </si>
  <si>
    <t>4"-6"</t>
  </si>
  <si>
    <t>10"-16"</t>
  </si>
  <si>
    <t>2"-4"</t>
  </si>
  <si>
    <t>Lumens/watt</t>
  </si>
  <si>
    <t>Temperature</t>
  </si>
  <si>
    <t>Cost (2014)</t>
  </si>
  <si>
    <t>Bulb</t>
  </si>
  <si>
    <t>sqft</t>
  </si>
  <si>
    <t>Bulb and ballast, $15/bulb</t>
  </si>
  <si>
    <t>$5 - $10</t>
  </si>
  <si>
    <t>Flourecent (T5)</t>
  </si>
  <si>
    <t>Flourecent (CFL)</t>
  </si>
  <si>
    <t>Metal Halide (HID)</t>
  </si>
  <si>
    <t>Hours of Light Per Day</t>
  </si>
  <si>
    <t>ABS - Acrylonite Butadiene Styrene</t>
  </si>
  <si>
    <t>Aluminum</t>
  </si>
  <si>
    <t>Brick sewer</t>
  </si>
  <si>
    <t>Cast-Iron - new unlined (CIP)</t>
  </si>
  <si>
    <t>Cast-Iron 10 years old</t>
  </si>
  <si>
    <t>Cast-Iron 20 years old</t>
  </si>
  <si>
    <t>Cast-Iron 30 years old</t>
  </si>
  <si>
    <t>Cast-Iron 40 years old</t>
  </si>
  <si>
    <t>Concrete</t>
  </si>
  <si>
    <t>Corrugated Metal</t>
  </si>
  <si>
    <t>Fiber Glass Pipe - FRP</t>
  </si>
  <si>
    <t>Galvanized iron</t>
  </si>
  <si>
    <t>Metal Pipes - Very to extremely smooth</t>
  </si>
  <si>
    <t>Plastic</t>
  </si>
  <si>
    <t>Polyethylene, PE, PEH</t>
  </si>
  <si>
    <t>Polyvinyl chloride, PVC, CPVC</t>
  </si>
  <si>
    <t>Smooth Pipes</t>
  </si>
  <si>
    <t>Steel new unlined</t>
  </si>
  <si>
    <t>Steel, corrugated</t>
  </si>
  <si>
    <t>Steel, welded and seamless</t>
  </si>
  <si>
    <t>Steel, interior riveted, no projecting rivets</t>
  </si>
  <si>
    <t>Vitrified Clay</t>
  </si>
  <si>
    <t>Low</t>
  </si>
  <si>
    <t>Ave</t>
  </si>
  <si>
    <t>High</t>
  </si>
  <si>
    <t>Hazen-Williams Coefficient -c-</t>
  </si>
  <si>
    <t>Material</t>
  </si>
  <si>
    <t>Big O Pipe</t>
  </si>
  <si>
    <t>Diameter of Pipe</t>
  </si>
  <si>
    <t>Thermal Mass Material</t>
  </si>
  <si>
    <t>Water</t>
  </si>
  <si>
    <t>Rock</t>
  </si>
  <si>
    <t>Density</t>
  </si>
  <si>
    <t>Brick</t>
  </si>
  <si>
    <t>Cast Iron</t>
  </si>
  <si>
    <t>Fireclay</t>
  </si>
  <si>
    <t>Granite</t>
  </si>
  <si>
    <t>Heat Capacity</t>
  </si>
  <si>
    <t>kJ/KgC</t>
  </si>
  <si>
    <t>Conversion</t>
  </si>
  <si>
    <t>1 kJ/kgc</t>
  </si>
  <si>
    <t>btu/lbgF</t>
  </si>
  <si>
    <r>
      <t>btu/lb</t>
    </r>
    <r>
      <rPr>
        <vertAlign val="subscript"/>
        <sz val="11"/>
        <color theme="1"/>
        <rFont val="Calibri"/>
        <family val="2"/>
        <scheme val="minor"/>
      </rPr>
      <t>m</t>
    </r>
    <r>
      <rPr>
        <sz val="11"/>
        <color theme="1"/>
        <rFont val="Calibri"/>
        <family val="2"/>
        <scheme val="minor"/>
      </rPr>
      <t>F</t>
    </r>
  </si>
  <si>
    <t>1 kg/m3</t>
  </si>
  <si>
    <t>lb/ft3</t>
  </si>
  <si>
    <t>Mass to Glazing ratio</t>
  </si>
  <si>
    <t>Water Eq</t>
  </si>
  <si>
    <t>Gal/ft2</t>
  </si>
  <si>
    <t>Litres/ft2</t>
  </si>
  <si>
    <t>Extreme Cold</t>
  </si>
  <si>
    <t>Cold</t>
  </si>
  <si>
    <t>Floors</t>
  </si>
  <si>
    <t>Wall</t>
  </si>
  <si>
    <t>Mass</t>
  </si>
  <si>
    <t>BTU/F</t>
  </si>
  <si>
    <t>Energy Capacity</t>
  </si>
  <si>
    <t>kg</t>
  </si>
  <si>
    <t>lb</t>
  </si>
  <si>
    <t>1 gallon</t>
  </si>
  <si>
    <t>KJ/C</t>
  </si>
  <si>
    <t>kJ/C</t>
  </si>
  <si>
    <t>Thermal Storage/ft2 (Potential)</t>
  </si>
  <si>
    <t>btu/F</t>
  </si>
  <si>
    <t>Volume</t>
  </si>
  <si>
    <t>For 5.5sqft @ 4" thick</t>
  </si>
  <si>
    <t>For 8 sqft @4" thick</t>
  </si>
  <si>
    <t>Massing Strategy</t>
  </si>
  <si>
    <t>High Mass Walls</t>
  </si>
  <si>
    <t>Medium Mass Walls</t>
  </si>
  <si>
    <t>Optimized for Peak Heat Loss</t>
  </si>
  <si>
    <t>Low Mass Walls</t>
  </si>
  <si>
    <t>Verge Passive Solar Green House</t>
  </si>
  <si>
    <t>AC/Hr</t>
  </si>
  <si>
    <t>Very Tight</t>
  </si>
  <si>
    <t>Therm US, Gas</t>
  </si>
  <si>
    <t>CCF, Gas</t>
  </si>
  <si>
    <t>MCF, Gas</t>
  </si>
  <si>
    <t># of Fuel Sources</t>
  </si>
  <si>
    <t>Produces a yellowish light that is great for flower and fruit production, can be used for all growth stages, highest yield per watt, can be hung once at the right hight without guessing unlike LED's and flourecents</t>
  </si>
  <si>
    <t>Run cooler thatn HID lights and come with built in cooling, easier to set up LED's over HID's, more power efficient than all of the othe lights, some LED's can vary their light  spectrum.</t>
  </si>
  <si>
    <t>Produce a blueish light that is great for vegetative growth, can be used for all growth stages, second highest yield per watt after HPS, can be hung once at the right hight without guessing unlike LED's and flourecents</t>
  </si>
  <si>
    <t>Cheap to buy, low power usage compared to HID lights, great light spectrum for seedlings, can be placed close to plants without burning which makes them great for seedlings.</t>
  </si>
  <si>
    <t xml:space="preserve"> CFLs are great for tiny spaces, Can use conventional light plug, cheap to buy, low power usage compared to HID's, great light spectrum, can be placed close to plants without burning which makes them great for seedlings.</t>
  </si>
  <si>
    <t>Generates a lot of heat so may require ventiliation, this might also solve the additional heat requirement of the greenhouse, HID requires an external balast and additional wires</t>
  </si>
  <si>
    <t>Average # of hrs/month</t>
  </si>
  <si>
    <t>USDA Zone</t>
  </si>
  <si>
    <t>1a</t>
  </si>
  <si>
    <t>1b</t>
  </si>
  <si>
    <t>2a</t>
  </si>
  <si>
    <t>2b</t>
  </si>
  <si>
    <t>3a</t>
  </si>
  <si>
    <t>3b</t>
  </si>
  <si>
    <t>4a</t>
  </si>
  <si>
    <t>4b</t>
  </si>
  <si>
    <t>5a</t>
  </si>
  <si>
    <t>5b</t>
  </si>
  <si>
    <t>6a</t>
  </si>
  <si>
    <t>6b</t>
  </si>
  <si>
    <t>7a</t>
  </si>
  <si>
    <t>7b</t>
  </si>
  <si>
    <t>8a</t>
  </si>
  <si>
    <t>8b</t>
  </si>
  <si>
    <t>9a</t>
  </si>
  <si>
    <t>9b</t>
  </si>
  <si>
    <t>10a</t>
  </si>
  <si>
    <t>10b</t>
  </si>
  <si>
    <t>11a</t>
  </si>
  <si>
    <t>11b</t>
  </si>
  <si>
    <t>12a</t>
  </si>
  <si>
    <t>12b</t>
  </si>
  <si>
    <t>13a</t>
  </si>
  <si>
    <t>13b</t>
  </si>
  <si>
    <t>Minimum Temp (f)</t>
  </si>
  <si>
    <t>Yes</t>
  </si>
  <si>
    <t>Yes/No Menu</t>
  </si>
  <si>
    <t xml:space="preserve">No </t>
  </si>
  <si>
    <t>5.5 ft2@4"/sqft of glazing</t>
  </si>
  <si>
    <t>8 ft2@4"/sqft of glazing</t>
  </si>
  <si>
    <t>BTU/F(sqft of glazing)</t>
  </si>
  <si>
    <t>Ethylene glycol/Water (50% mix)</t>
  </si>
  <si>
    <t>Dia of heat pipe</t>
  </si>
  <si>
    <t>gallons</t>
  </si>
  <si>
    <t>Recommended CFM</t>
  </si>
  <si>
    <t>Smooth</t>
  </si>
  <si>
    <t>Rough</t>
  </si>
  <si>
    <t>Heat Pipe Diameter (inches)</t>
  </si>
  <si>
    <t>Rough Pipe</t>
  </si>
  <si>
    <t>Smooth Pipe</t>
  </si>
  <si>
    <t>Internal Pipe Surface</t>
  </si>
  <si>
    <t>Distance between heat pipe lifts</t>
  </si>
  <si>
    <t xml:space="preserve">Looks like the actualy CFM of air flow is right in range. </t>
  </si>
  <si>
    <t>Inlet/Outlet Duct Size</t>
  </si>
  <si>
    <t>Diameter (in)</t>
  </si>
  <si>
    <t>Low (0.05 in. Static Water)</t>
  </si>
  <si>
    <t>High (0.1in. Static Wtr)</t>
  </si>
  <si>
    <t>High (0.3in. Static Wtr)</t>
  </si>
  <si>
    <t>Low (0.1 in. Static Water)</t>
  </si>
  <si>
    <t>Days</t>
  </si>
  <si>
    <t>USDA ZONE TO MIMIC</t>
  </si>
  <si>
    <t>JAN</t>
  </si>
  <si>
    <t>FEB</t>
  </si>
  <si>
    <t>MAR</t>
  </si>
  <si>
    <t>APR</t>
  </si>
  <si>
    <t>MAY</t>
  </si>
  <si>
    <t>JUN</t>
  </si>
  <si>
    <t>JUL</t>
  </si>
  <si>
    <t>AUG</t>
  </si>
  <si>
    <t>SEP</t>
  </si>
  <si>
    <t>OCT</t>
  </si>
  <si>
    <t>NOV</t>
  </si>
  <si>
    <t>DEC</t>
  </si>
  <si>
    <t>AVG. SNOW DEPTH</t>
  </si>
  <si>
    <t>WIND DIRECTION</t>
  </si>
  <si>
    <t>AVERAGE WIND SPEED</t>
  </si>
  <si>
    <t>MAXIMUM WIND SPEED</t>
  </si>
  <si>
    <t>AVE. SUN HOURS</t>
  </si>
  <si>
    <t>TOTAL</t>
  </si>
  <si>
    <t>SNOW FALL</t>
  </si>
  <si>
    <t>GROWING DEGREE DAYS</t>
  </si>
  <si>
    <t>HEATING DEGREE DAYS</t>
  </si>
  <si>
    <t>AVE TEMP</t>
  </si>
  <si>
    <t>EXTREME MIN TEMP</t>
  </si>
  <si>
    <t>EXTREME MAX TEMP</t>
  </si>
  <si>
    <t>AVE.</t>
  </si>
  <si>
    <t>MIN INDOOR HEATING TEMP</t>
  </si>
  <si>
    <t>NE</t>
  </si>
  <si>
    <t>NW</t>
  </si>
  <si>
    <t>SE</t>
  </si>
  <si>
    <t>SW</t>
  </si>
  <si>
    <t>1. CLIMATE DATA</t>
  </si>
  <si>
    <t>NAME OF GREENHOUSE</t>
  </si>
  <si>
    <t>DELTA T</t>
  </si>
  <si>
    <t>BUILDING VOLUME</t>
  </si>
  <si>
    <t>HEATED SLAB</t>
  </si>
  <si>
    <t>EXTREME MINIMUM TEMP</t>
  </si>
  <si>
    <t/>
  </si>
  <si>
    <t>FOOTING</t>
  </si>
  <si>
    <t>2. ENERGY COMSUMPTION (HEAT LOSS)</t>
  </si>
  <si>
    <t>AREA</t>
  </si>
  <si>
    <t>R - VALUE</t>
  </si>
  <si>
    <t>U</t>
  </si>
  <si>
    <t>HOURLY HEAT LOSS</t>
  </si>
  <si>
    <t>ANNUAL HEAT LOSS</t>
  </si>
  <si>
    <t xml:space="preserve">ROOF 1  </t>
  </si>
  <si>
    <t xml:space="preserve">ROOF 2  </t>
  </si>
  <si>
    <t xml:space="preserve">ROOF 3  </t>
  </si>
  <si>
    <t xml:space="preserve">ROOF 4  </t>
  </si>
  <si>
    <t xml:space="preserve">ROOF 5  </t>
  </si>
  <si>
    <t xml:space="preserve">ROOF 6  </t>
  </si>
  <si>
    <t xml:space="preserve">ROOF 7  </t>
  </si>
  <si>
    <t xml:space="preserve">ROOF 8  </t>
  </si>
  <si>
    <t xml:space="preserve">ROOF 9  </t>
  </si>
  <si>
    <t xml:space="preserve">ROOF 10  </t>
  </si>
  <si>
    <t>NB OF ROOFS</t>
  </si>
  <si>
    <t>NB OF WALLS</t>
  </si>
  <si>
    <t xml:space="preserve">TOTAL  </t>
  </si>
  <si>
    <t xml:space="preserve">NORTH WALL  </t>
  </si>
  <si>
    <t xml:space="preserve">EAST WALL  </t>
  </si>
  <si>
    <t xml:space="preserve">WEST WALL  </t>
  </si>
  <si>
    <t xml:space="preserve">SOUTH WALL  </t>
  </si>
  <si>
    <t xml:space="preserve">WALL 5  </t>
  </si>
  <si>
    <t xml:space="preserve">WALL 6  </t>
  </si>
  <si>
    <t xml:space="preserve">WALL 7  </t>
  </si>
  <si>
    <t xml:space="preserve">WALL 8  </t>
  </si>
  <si>
    <t xml:space="preserve">WALL 9  </t>
  </si>
  <si>
    <t xml:space="preserve">WALL 10  </t>
  </si>
  <si>
    <t xml:space="preserve">NORTH GLAZING  </t>
  </si>
  <si>
    <t xml:space="preserve">EAST GLAZING  </t>
  </si>
  <si>
    <t xml:space="preserve">WEST GLAZING  </t>
  </si>
  <si>
    <t xml:space="preserve">SOUTH GLAZING  </t>
  </si>
  <si>
    <t xml:space="preserve">GLAZING 5  </t>
  </si>
  <si>
    <t xml:space="preserve">GLAZING 6  </t>
  </si>
  <si>
    <t xml:space="preserve">GLAZING 7  </t>
  </si>
  <si>
    <t xml:space="preserve">GLAZING 8  </t>
  </si>
  <si>
    <t xml:space="preserve">GLAZING 9  </t>
  </si>
  <si>
    <t xml:space="preserve">GLAZING 10  </t>
  </si>
  <si>
    <t>PERIMETER</t>
  </si>
  <si>
    <t xml:space="preserve">GREENHOUSE FOOTING  </t>
  </si>
  <si>
    <t xml:space="preserve">INSULATION ORIENTATION  </t>
  </si>
  <si>
    <t xml:space="preserve">INSULATION DEPTH  </t>
  </si>
  <si>
    <t>full slab</t>
  </si>
  <si>
    <t>R</t>
  </si>
  <si>
    <t>in</t>
  </si>
  <si>
    <t>slab</t>
  </si>
  <si>
    <t>KEY</t>
  </si>
  <si>
    <t>heated</t>
  </si>
  <si>
    <t>No</t>
  </si>
  <si>
    <t>2.1 SURFACE HEAT LOSS: ROOF</t>
  </si>
  <si>
    <t>2.2 SURFACE HEAT LOSS: WALL</t>
  </si>
  <si>
    <t>2.3 SURFACE HEAT LOSS: GLAZING</t>
  </si>
  <si>
    <t>2.4 SURFACE HEAT LOSS: FOOTING</t>
  </si>
  <si>
    <t>2.5 INFILTRATION LOSSES</t>
  </si>
  <si>
    <t xml:space="preserve">BUILDING TIGHTNESS  </t>
  </si>
  <si>
    <t xml:space="preserve">AIR CHANGES / HOUR  </t>
  </si>
  <si>
    <t>2.6 HEAT LOST TOTALS</t>
  </si>
  <si>
    <t>ROOFS</t>
  </si>
  <si>
    <t>WALLS</t>
  </si>
  <si>
    <t>GLAZING</t>
  </si>
  <si>
    <t>INFILTRATION</t>
  </si>
  <si>
    <t>TOTALS:</t>
  </si>
  <si>
    <t>3. HEAT LOSS &amp; COST</t>
  </si>
  <si>
    <t>Required Information</t>
  </si>
  <si>
    <t>Optional Information</t>
  </si>
  <si>
    <t>MINIMUM INDOOR DESIGN TEMP (BASE TEMPERATURE)</t>
  </si>
  <si>
    <t>GJ, Gas</t>
  </si>
  <si>
    <t>GJ</t>
  </si>
  <si>
    <t>Cost/GJ</t>
  </si>
  <si>
    <t>BTU/GJ</t>
  </si>
  <si>
    <t>Litres/Oil</t>
  </si>
  <si>
    <t>Cost/Litre</t>
  </si>
  <si>
    <t>BTU/Litre</t>
  </si>
  <si>
    <t>lb, Propane</t>
  </si>
  <si>
    <t>Cost/lb</t>
  </si>
  <si>
    <t>BTU/lb</t>
  </si>
  <si>
    <t>Litres, Propane</t>
  </si>
  <si>
    <t>BTU/Ltire</t>
  </si>
  <si>
    <t>Gal, Propane</t>
  </si>
  <si>
    <t>Cost/Gallon</t>
  </si>
  <si>
    <t>4. THERMAL MASS CALCULATOR</t>
  </si>
  <si>
    <r>
      <t>btu/lb</t>
    </r>
    <r>
      <rPr>
        <b/>
        <vertAlign val="subscript"/>
        <sz val="11"/>
        <color theme="1"/>
        <rFont val="Calibri"/>
        <family val="2"/>
        <scheme val="minor"/>
      </rPr>
      <t>m</t>
    </r>
    <r>
      <rPr>
        <b/>
        <sz val="11"/>
        <color theme="1"/>
        <rFont val="Calibri"/>
        <family val="2"/>
        <scheme val="minor"/>
      </rPr>
      <t>F</t>
    </r>
  </si>
  <si>
    <t>5. LIGHT DESIGN</t>
  </si>
  <si>
    <t>High Pressure Sodium (HID)</t>
  </si>
  <si>
    <t>Type</t>
  </si>
  <si>
    <t>6. SH&amp;C DESIGN</t>
  </si>
  <si>
    <t>DEGREE DAY DATABASE</t>
  </si>
  <si>
    <t>Ton</t>
  </si>
  <si>
    <t>Cord</t>
  </si>
  <si>
    <t>ON</t>
  </si>
  <si>
    <t>Passive Solar Greenhouse Design Tool V 1.0 (Beta release)</t>
  </si>
  <si>
    <t>All rights reserved. No part of this document may be reproduced or transmitted in any form, by any means (electronic, photocopying, recording, or otherwise) without the prior written permission of the author.</t>
  </si>
  <si>
    <r>
      <t xml:space="preserve">All contents copyright </t>
    </r>
    <r>
      <rPr>
        <sz val="10"/>
        <color theme="1" tint="0.34998626667073579"/>
        <rFont val="Calibri"/>
        <family val="2"/>
      </rPr>
      <t>©</t>
    </r>
    <r>
      <rPr>
        <sz val="10"/>
        <color theme="1" tint="0.34998626667073579"/>
        <rFont val="Arial"/>
        <family val="2"/>
      </rPr>
      <t xml:space="preserve"> 2017 by Verge Permaculture Inc (Verge Permaculture).</t>
    </r>
  </si>
  <si>
    <t>in partnership with DoMyEXCEL.com</t>
  </si>
  <si>
    <t>Please note, this calculator assumes steady state heat loss and does not account for evaporative and condensing effects for heat loss and gain. The goal of this tool is to get an approximate heat loss based on the local conditions inputted into the sheet. In reality the heat loss could vary higher or lower depending on management, plants and internal layout.</t>
  </si>
  <si>
    <t>For assistance using this tool please visit www.vergepermaculture.ca/greenhousetool where you will find a series of tutorials. The tutorial videos will cover how to fill in all aspects of the tool.</t>
  </si>
  <si>
    <t>Litre</t>
  </si>
  <si>
    <t>TOTAL ANNUAL FUEL COST</t>
  </si>
  <si>
    <t>This thermal mass calculator is works on rules of thumb to estimate the minimum amount of thermal mass required based on the glazing area of the greenhouse. In a lot of situations it may not be possible to add in the amount of thermal mass that this calculator recommends. Thermal mass is important to the management and thermal regulation of a greenhouse and so adding as much as you can will go a long way to ensuring a successfull building.</t>
  </si>
  <si>
    <t xml:space="preserve">This sheet provides a calculator to estimate the amount of artificial light that you will require in order to keep your plants growing in the depth of winter. Generally plants require ~10 hours of light per day to grow effectively. The user will need to determine if the lights need to be on or off based on the day-length, the average sun hours per day and their knowledge of their biome. The goal for this sheet is to assess how much power will be needed to light the greenhouse annually. </t>
  </si>
  <si>
    <t>Subterranean Heating and Cooling Systems (SH&amp;C) are complex systems that need to be modeled using a transient approach to heat transfer. This tool can not guarantee that your SH&amp;C system will function or provide a return on investment. The primary goal of this tool is to make sure that you size the correct manifold and heat pipe size as well as choose a variable speed fan that will give you the highest chance of success with regards to storing heat in the ground. If you require assistance in design and modeling a greenhouse using transient analysis contact us at greenhousetool@vergepermaculture.ca     </t>
  </si>
  <si>
    <t>#</t>
  </si>
  <si>
    <t>NB OF GLAZING SURFACES</t>
  </si>
  <si>
    <t>DEMO VERSION</t>
  </si>
  <si>
    <t>www.vergepermaculture.ca/product/ghtool</t>
  </si>
  <si>
    <t>info@vergepermaculture.ca</t>
  </si>
  <si>
    <t xml:space="preserve">The “Annual Heat Loss” feature is available in the full version of the sheet” to purchase the full version go to </t>
  </si>
  <si>
    <t>Available in full version. To purchase the full version go to:</t>
  </si>
  <si>
    <t>TEMPERATURE CONVERSION: °C</t>
  </si>
  <si>
    <t>TEMPERATURE CONVERSION: °F</t>
  </si>
  <si>
    <t>COPY TO:</t>
  </si>
  <si>
    <t>www.vergepermaculture.ca/ghtool</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</si>
</sst>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3" formatCode="_(* #,##0.00_);_(* \(#,##0.00\);_(* &quot;-&quot;??_);_(@_)"/>
    <numFmt numFmtId="164" formatCode="&quot;$&quot;#,##0;[Red]\-&quot;$&quot;#,##0"/>
    <numFmt numFmtId="165" formatCode="_-&quot;$&quot;* #,##0.00_-;\-&quot;$&quot;* #,##0.00_-;_-&quot;$&quot;* &quot;-&quot;??_-;_-@_-"/>
    <numFmt numFmtId="166" formatCode="0.0"/>
    <numFmt numFmtId="167" formatCode="0.0000"/>
    <numFmt numFmtId="168" formatCode="0.00000&quot; m&quot;"/>
    <numFmt numFmtId="169" formatCode="0.0000&quot; m&quot;"/>
    <numFmt numFmtId="170" formatCode="0.000"/>
    <numFmt numFmtId="171" formatCode="0\ &quot;°C&quot;"/>
    <numFmt numFmtId="172" formatCode="0\ &quot;°F&quot;"/>
    <numFmt numFmtId="173" formatCode="0\ &quot;H&quot;"/>
    <numFmt numFmtId="174" formatCode="0\ &quot;IN&quot;"/>
    <numFmt numFmtId="175" formatCode="0\ &quot;M/H&quot;"/>
    <numFmt numFmtId="176" formatCode="0\ &quot;FT3&quot;"/>
    <numFmt numFmtId="177" formatCode="0.00\ &quot;BTU/FT2.F.H&quot;"/>
    <numFmt numFmtId="178" formatCode="0\ &quot;FT2&quot;"/>
    <numFmt numFmtId="179" formatCode="0\ &quot;BTU/H&quot;"/>
    <numFmt numFmtId="180" formatCode="0\ &quot;BTU/Y&quot;"/>
    <numFmt numFmtId="181" formatCode="0\ &quot;FT&quot;"/>
    <numFmt numFmtId="182" formatCode="0.0\ &quot;FT2.F.H/BTU&quot;"/>
    <numFmt numFmtId="183" formatCode="_(* #,##0.0_);_(* \(#,##0.0\);_(* &quot;-&quot;??_);_(@_)"/>
    <numFmt numFmtId="184" formatCode="0\ &quot;BTU/M&quot;"/>
    <numFmt numFmtId="185" formatCode="0.00\ &quot;USD&quot;"/>
    <numFmt numFmtId="186" formatCode="0.00\ &quot; &amp; un &amp; &quot;"/>
    <numFmt numFmtId="187" formatCode="0.00\ &quot;LB/FT3&quot;"/>
    <numFmt numFmtId="188" formatCode="0.00\ &quot;BTU/LBMF&quot;"/>
    <numFmt numFmtId="189" formatCode="0\ &quot;LBs&quot;"/>
    <numFmt numFmtId="190" formatCode="0.0\ &quot;FT3&quot;"/>
    <numFmt numFmtId="191" formatCode="0\ &quot;GALLONS&quot;"/>
    <numFmt numFmtId="192" formatCode="&quot;(&quot;\ 0.0\ &quot;TONs )&quot;"/>
    <numFmt numFmtId="193" formatCode="0.00\ &quot;kW&quot;"/>
    <numFmt numFmtId="194" formatCode="0.0\ &quot;W/FT2&quot;"/>
    <numFmt numFmtId="195" formatCode="0.00\ &quot;kWhrs&quot;"/>
    <numFmt numFmtId="196" formatCode="0\ &quot;L/W&quot;"/>
    <numFmt numFmtId="197" formatCode="0\ &quot;CFM&quot;"/>
    <numFmt numFmtId="198" formatCode="0.00\ &quot;IN&quot;"/>
    <numFmt numFmtId="199" formatCode="&quot;$&quot;\ 0.00"/>
    <numFmt numFmtId="200" formatCode="0\ &quot;KW&quot;"/>
    <numFmt numFmtId="201" formatCode="0\ &quot;Hours/Y&quot;"/>
    <numFmt numFmtId="202" formatCode="0.0\ &quot;Y&quot;"/>
    <numFmt numFmtId="203" formatCode="0.00\ &quot;FT2.F.H/BTU&quot;"/>
    <numFmt numFmtId="204" formatCode="0\ &quot;FT2.F.H/BTU&quot;"/>
    <numFmt numFmtId="205" formatCode="&quot;$&quot;\ 0.00\ &quot;/kWhrs&quot;"/>
    <numFmt numFmtId="206" formatCode="0.00\ &quot;BTU/kWhrs&quot;"/>
    <numFmt numFmtId="207" formatCode="&quot;$&quot;\ 0.00\ &quot;/Cord&quot;"/>
    <numFmt numFmtId="208" formatCode="0.00\ &quot;BTU/Cord&quot;"/>
    <numFmt numFmtId="209" formatCode="&quot;$&quot;\ 0.00\ &quot;/&quot;"/>
    <numFmt numFmtId="210" formatCode="0.00\ &quot;BTU/&quot;"/>
  </numFmts>
  <fonts count="57" x14ac:knownFonts="1">
    <font>
      <sz val="11"/>
      <color theme="1"/>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sz val="10"/>
      <color theme="1"/>
      <name val="Calibri"/>
      <family val="2"/>
      <scheme val="minor"/>
    </font>
    <font>
      <sz val="10"/>
      <color rgb="FF000000"/>
      <name val="Times New Roman"/>
      <family val="1"/>
    </font>
    <font>
      <b/>
      <sz val="10"/>
      <color theme="0"/>
      <name val="Calibri"/>
      <family val="2"/>
      <scheme val="minor"/>
    </font>
    <font>
      <sz val="10"/>
      <name val="Calibri"/>
      <family val="2"/>
    </font>
    <font>
      <sz val="10"/>
      <color theme="1"/>
      <name val="Calibri"/>
      <family val="2"/>
    </font>
    <font>
      <sz val="11"/>
      <color theme="1"/>
      <name val="Calibri"/>
      <family val="2"/>
    </font>
    <font>
      <b/>
      <sz val="14"/>
      <color theme="1"/>
      <name val="Calibri"/>
      <family val="2"/>
      <scheme val="minor"/>
    </font>
    <font>
      <vertAlign val="subscript"/>
      <sz val="11"/>
      <color theme="1"/>
      <name val="Calibri"/>
      <family val="2"/>
      <scheme val="minor"/>
    </font>
    <font>
      <b/>
      <sz val="11"/>
      <color theme="0"/>
      <name val="Calibri"/>
      <family val="2"/>
      <scheme val="minor"/>
    </font>
    <font>
      <b/>
      <sz val="10"/>
      <name val="Calibri"/>
      <family val="2"/>
      <scheme val="minor"/>
    </font>
    <font>
      <b/>
      <sz val="11"/>
      <name val="Calibri"/>
      <family val="2"/>
      <scheme val="minor"/>
    </font>
    <font>
      <b/>
      <sz val="28"/>
      <color theme="0"/>
      <name val="Calibri"/>
      <family val="2"/>
      <scheme val="minor"/>
    </font>
    <font>
      <b/>
      <sz val="10"/>
      <color theme="1"/>
      <name val="Calibri"/>
      <family val="2"/>
      <scheme val="minor"/>
    </font>
    <font>
      <sz val="11"/>
      <color rgb="FF000000"/>
      <name val="Calibri"/>
      <family val="2"/>
      <scheme val="minor"/>
    </font>
    <font>
      <b/>
      <sz val="11"/>
      <color rgb="FF000000"/>
      <name val="Calibri"/>
      <family val="2"/>
      <scheme val="minor"/>
    </font>
    <font>
      <b/>
      <sz val="20"/>
      <color theme="1"/>
      <name val="Calibri"/>
      <family val="2"/>
      <scheme val="minor"/>
    </font>
    <font>
      <sz val="11"/>
      <color rgb="FF006100"/>
      <name val="Calibri"/>
      <family val="2"/>
      <scheme val="minor"/>
    </font>
    <font>
      <sz val="11"/>
      <color rgb="FF9C0006"/>
      <name val="Calibri"/>
      <family val="2"/>
      <scheme val="minor"/>
    </font>
    <font>
      <u/>
      <sz val="11"/>
      <color theme="10"/>
      <name val="Calibri"/>
      <family val="2"/>
      <scheme val="minor"/>
    </font>
    <font>
      <sz val="11"/>
      <color rgb="FF000000"/>
      <name val="Arial"/>
      <family val="2"/>
    </font>
    <font>
      <b/>
      <vertAlign val="subscript"/>
      <sz val="11"/>
      <color theme="1"/>
      <name val="Calibri"/>
      <family val="2"/>
      <scheme val="minor"/>
    </font>
    <font>
      <b/>
      <i/>
      <sz val="11"/>
      <color theme="1"/>
      <name val="Calibri"/>
      <family val="2"/>
      <scheme val="minor"/>
    </font>
    <font>
      <b/>
      <sz val="20"/>
      <color theme="5" tint="0.79998168889431442"/>
      <name val="Calibri"/>
      <family val="2"/>
      <scheme val="minor"/>
    </font>
    <font>
      <b/>
      <sz val="20"/>
      <color rgb="FFFFD9DA"/>
      <name val="Calibri"/>
      <family val="2"/>
      <scheme val="minor"/>
    </font>
    <font>
      <b/>
      <sz val="11"/>
      <color rgb="FF492A19"/>
      <name val="Calibri"/>
      <family val="2"/>
      <scheme val="minor"/>
    </font>
    <font>
      <sz val="11"/>
      <color rgb="FF492A19"/>
      <name val="Calibri"/>
      <family val="2"/>
      <scheme val="minor"/>
    </font>
    <font>
      <b/>
      <sz val="28"/>
      <color rgb="FFEDD6C9"/>
      <name val="Calibri"/>
      <family val="2"/>
      <scheme val="minor"/>
    </font>
    <font>
      <b/>
      <sz val="18"/>
      <color rgb="FFEDD6C9"/>
      <name val="Calibri"/>
      <family val="2"/>
      <scheme val="minor"/>
    </font>
    <font>
      <sz val="11"/>
      <name val="Calibri"/>
      <family val="2"/>
      <scheme val="minor"/>
    </font>
    <font>
      <i/>
      <sz val="11"/>
      <name val="Calibri"/>
      <family val="2"/>
      <scheme val="minor"/>
    </font>
    <font>
      <b/>
      <i/>
      <u/>
      <sz val="11"/>
      <color rgb="FF00B0F0"/>
      <name val="Calibri"/>
      <family val="2"/>
      <scheme val="minor"/>
    </font>
    <font>
      <b/>
      <sz val="26"/>
      <color rgb="FF894F2F"/>
      <name val="Calibri"/>
      <family val="2"/>
      <scheme val="minor"/>
    </font>
    <font>
      <sz val="11"/>
      <color rgb="FF894F2F"/>
      <name val="Calibri"/>
      <family val="2"/>
      <scheme val="minor"/>
    </font>
    <font>
      <b/>
      <u/>
      <sz val="11"/>
      <color rgb="FF894F2F"/>
      <name val="Calibri"/>
      <family val="2"/>
      <scheme val="minor"/>
    </font>
    <font>
      <b/>
      <sz val="26"/>
      <color rgb="FFEDD6C9"/>
      <name val="Calibri"/>
      <family val="2"/>
      <scheme val="minor"/>
    </font>
    <font>
      <sz val="11"/>
      <color rgb="FFEDD6C9"/>
      <name val="Calibri"/>
      <family val="2"/>
      <scheme val="minor"/>
    </font>
    <font>
      <i/>
      <sz val="11"/>
      <color theme="1"/>
      <name val="Calibri"/>
      <family val="2"/>
      <scheme val="minor"/>
    </font>
    <font>
      <sz val="10"/>
      <color theme="1" tint="0.34998626667073579"/>
      <name val="Arial"/>
      <family val="2"/>
    </font>
    <font>
      <sz val="10"/>
      <color theme="1" tint="0.34998626667073579"/>
      <name val="Calibri"/>
      <family val="2"/>
    </font>
    <font>
      <b/>
      <sz val="9"/>
      <color rgb="FF9EA32C"/>
      <name val="Calibri"/>
      <family val="2"/>
      <scheme val="minor"/>
    </font>
    <font>
      <i/>
      <sz val="11"/>
      <color rgb="FF894F2F"/>
      <name val="Calibri"/>
      <family val="2"/>
      <scheme val="minor"/>
    </font>
    <font>
      <sz val="16"/>
      <color theme="1"/>
      <name val="Calibri"/>
      <family val="2"/>
      <scheme val="minor"/>
    </font>
    <font>
      <sz val="16"/>
      <color rgb="FFCCFFFF"/>
      <name val="Calibri"/>
      <family val="2"/>
      <scheme val="minor"/>
    </font>
    <font>
      <b/>
      <sz val="16"/>
      <color rgb="FFCCFFFF"/>
      <name val="Calibri"/>
      <family val="2"/>
      <scheme val="minor"/>
    </font>
    <font>
      <b/>
      <sz val="16"/>
      <color theme="0"/>
      <name val="Calibri"/>
      <family val="2"/>
      <scheme val="minor"/>
    </font>
    <font>
      <b/>
      <sz val="16"/>
      <color rgb="FFDBF7F4"/>
      <name val="Calibri"/>
      <family val="2"/>
      <scheme val="minor"/>
    </font>
    <font>
      <b/>
      <sz val="16"/>
      <color theme="3" tint="0.79998168889431442"/>
      <name val="Calibri"/>
      <family val="2"/>
      <scheme val="minor"/>
    </font>
    <font>
      <sz val="10"/>
      <color rgb="FFCCFFFF"/>
      <name val="Calibri"/>
      <family val="2"/>
      <scheme val="minor"/>
    </font>
    <font>
      <sz val="9"/>
      <color theme="1" tint="0.499984740745262"/>
      <name val="Arial"/>
      <family val="2"/>
    </font>
    <font>
      <b/>
      <sz val="14"/>
      <color rgb="FFFF0000"/>
      <name val="Calibri"/>
      <family val="2"/>
      <scheme val="minor"/>
    </font>
    <font>
      <u/>
      <sz val="12"/>
      <color theme="10"/>
      <name val="Calibri"/>
      <family val="2"/>
      <scheme val="minor"/>
    </font>
    <font>
      <b/>
      <sz val="12"/>
      <color rgb="FFFF0000"/>
      <name val="Calibri"/>
      <family val="2"/>
      <scheme val="minor"/>
    </font>
    <font>
      <b/>
      <u/>
      <sz val="12"/>
      <color theme="10"/>
      <name val="Calibri"/>
      <family val="2"/>
      <scheme val="minor"/>
    </font>
  </fonts>
  <fills count="12">
    <fill>
      <patternFill patternType="none"/>
    </fill>
    <fill>
      <patternFill patternType="gray125"/>
    </fill>
    <fill>
      <patternFill patternType="solid">
        <fgColor theme="5"/>
        <bgColor indexed="64"/>
      </patternFill>
    </fill>
    <fill>
      <patternFill patternType="solid">
        <fgColor theme="1"/>
        <bgColor indexed="64"/>
      </patternFill>
    </fill>
    <fill>
      <patternFill patternType="solid">
        <fgColor rgb="FF00B0F0"/>
        <bgColor indexed="64"/>
      </patternFill>
    </fill>
    <fill>
      <patternFill patternType="solid">
        <fgColor rgb="FF9FE6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9EA32C"/>
        <bgColor indexed="64"/>
      </patternFill>
    </fill>
    <fill>
      <patternFill patternType="solid">
        <fgColor rgb="FFDBDF89"/>
        <bgColor indexed="64"/>
      </patternFill>
    </fill>
    <fill>
      <patternFill patternType="solid">
        <fgColor rgb="FF894F2F"/>
        <bgColor indexed="64"/>
      </patternFill>
    </fill>
  </fills>
  <borders count="5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ck">
        <color theme="0"/>
      </top>
      <bottom style="thick">
        <color theme="0"/>
      </bottom>
      <diagonal/>
    </border>
    <border>
      <left style="thin">
        <color theme="0"/>
      </left>
      <right style="thin">
        <color theme="0"/>
      </right>
      <top style="thin">
        <color theme="0"/>
      </top>
      <bottom style="thin">
        <color theme="0"/>
      </bottom>
      <diagonal/>
    </border>
    <border>
      <left/>
      <right/>
      <top/>
      <bottom style="thick">
        <color theme="0"/>
      </bottom>
      <diagonal/>
    </border>
    <border>
      <left/>
      <right/>
      <top style="thick">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ck">
        <color theme="0"/>
      </bottom>
      <diagonal/>
    </border>
    <border>
      <left/>
      <right/>
      <top style="thin">
        <color theme="0"/>
      </top>
      <bottom style="thick">
        <color theme="0"/>
      </bottom>
      <diagonal/>
    </border>
    <border>
      <left/>
      <right style="thin">
        <color theme="0"/>
      </right>
      <top style="thin">
        <color theme="0"/>
      </top>
      <bottom style="thick">
        <color theme="0"/>
      </bottom>
      <diagonal/>
    </border>
    <border>
      <left/>
      <right style="medium">
        <color indexed="64"/>
      </right>
      <top style="medium">
        <color indexed="64"/>
      </top>
      <bottom style="thin">
        <color indexed="64"/>
      </bottom>
      <diagonal/>
    </border>
    <border>
      <left style="medium">
        <color rgb="FF800000"/>
      </left>
      <right/>
      <top style="medium">
        <color rgb="FF800000"/>
      </top>
      <bottom style="medium">
        <color rgb="FF800000"/>
      </bottom>
      <diagonal/>
    </border>
    <border>
      <left/>
      <right/>
      <top style="medium">
        <color rgb="FF800000"/>
      </top>
      <bottom style="medium">
        <color rgb="FF800000"/>
      </bottom>
      <diagonal/>
    </border>
    <border>
      <left/>
      <right style="medium">
        <color rgb="FF800000"/>
      </right>
      <top style="medium">
        <color rgb="FF800000"/>
      </top>
      <bottom style="medium">
        <color rgb="FF800000"/>
      </bottom>
      <diagonal/>
    </border>
    <border>
      <left/>
      <right/>
      <top/>
      <bottom style="medium">
        <color rgb="FF800000"/>
      </bottom>
      <diagonal/>
    </border>
  </borders>
  <cellStyleXfs count="8">
    <xf numFmtId="0" fontId="0" fillId="0" borderId="0"/>
    <xf numFmtId="9" fontId="2" fillId="0" borderId="0" applyFont="0" applyFill="0" applyBorder="0" applyAlignment="0" applyProtection="0"/>
    <xf numFmtId="165" fontId="2" fillId="0" borderId="0" applyFont="0" applyFill="0" applyBorder="0" applyAlignment="0" applyProtection="0"/>
    <xf numFmtId="0" fontId="5" fillId="0" borderId="0"/>
    <xf numFmtId="43" fontId="2" fillId="0" borderId="0" applyFon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0" borderId="0" applyNumberFormat="0" applyFill="0" applyBorder="0" applyAlignment="0" applyProtection="0"/>
  </cellStyleXfs>
  <cellXfs count="475">
    <xf numFmtId="0" fontId="0" fillId="0" borderId="0" xfId="0"/>
    <xf numFmtId="0" fontId="0" fillId="0" borderId="8" xfId="0"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4" xfId="0" applyBorder="1"/>
    <xf numFmtId="0" fontId="0" fillId="0" borderId="5" xfId="0" applyBorder="1"/>
    <xf numFmtId="0" fontId="0" fillId="0" borderId="1" xfId="0" applyBorder="1"/>
    <xf numFmtId="166" fontId="0" fillId="0" borderId="0" xfId="0" applyNumberFormat="1"/>
    <xf numFmtId="0" fontId="1" fillId="0" borderId="0" xfId="0" applyFont="1"/>
    <xf numFmtId="0" fontId="0" fillId="0" borderId="15" xfId="0" applyBorder="1"/>
    <xf numFmtId="0" fontId="0" fillId="0" borderId="0" xfId="0" applyBorder="1" applyAlignment="1"/>
    <xf numFmtId="0" fontId="1" fillId="0" borderId="4" xfId="0" applyFont="1" applyBorder="1"/>
    <xf numFmtId="1" fontId="0" fillId="0" borderId="10" xfId="0" applyNumberFormat="1" applyBorder="1"/>
    <xf numFmtId="0" fontId="0" fillId="2" borderId="7" xfId="0" applyFill="1" applyBorder="1"/>
    <xf numFmtId="0" fontId="0" fillId="2" borderId="16" xfId="0" applyFill="1" applyBorder="1"/>
    <xf numFmtId="0" fontId="0" fillId="2" borderId="3" xfId="0" applyFill="1" applyBorder="1"/>
    <xf numFmtId="0" fontId="0" fillId="0" borderId="17" xfId="0" applyBorder="1"/>
    <xf numFmtId="0" fontId="0" fillId="0" borderId="20" xfId="0" applyBorder="1"/>
    <xf numFmtId="0" fontId="0" fillId="0" borderId="20" xfId="0" applyBorder="1" applyAlignment="1">
      <alignment wrapText="1"/>
    </xf>
    <xf numFmtId="0" fontId="0" fillId="0" borderId="22" xfId="0" applyBorder="1"/>
    <xf numFmtId="0" fontId="0" fillId="0" borderId="23" xfId="0" applyBorder="1" applyAlignment="1">
      <alignment horizontal="center"/>
    </xf>
    <xf numFmtId="0" fontId="0" fillId="0" borderId="19" xfId="0" applyBorder="1"/>
    <xf numFmtId="0" fontId="0" fillId="0" borderId="21" xfId="0" applyBorder="1"/>
    <xf numFmtId="0" fontId="0" fillId="0" borderId="24" xfId="0" applyBorder="1"/>
    <xf numFmtId="0" fontId="0" fillId="0" borderId="13" xfId="0" applyBorder="1"/>
    <xf numFmtId="0" fontId="0" fillId="0" borderId="18" xfId="0" applyBorder="1"/>
    <xf numFmtId="0" fontId="0" fillId="0" borderId="23" xfId="0" applyBorder="1"/>
    <xf numFmtId="0" fontId="0" fillId="0" borderId="22" xfId="0" applyBorder="1" applyAlignment="1">
      <alignment horizontal="center"/>
    </xf>
    <xf numFmtId="0" fontId="0" fillId="0" borderId="18" xfId="0" applyBorder="1" applyAlignment="1">
      <alignment horizontal="center" vertical="center" wrapText="1"/>
    </xf>
    <xf numFmtId="0" fontId="0" fillId="0" borderId="13" xfId="0" applyBorder="1" applyAlignment="1">
      <alignment horizontal="center" vertical="center" wrapText="1"/>
    </xf>
    <xf numFmtId="0" fontId="0" fillId="0" borderId="26" xfId="0" applyBorder="1"/>
    <xf numFmtId="2" fontId="0" fillId="0" borderId="0" xfId="0" applyNumberFormat="1"/>
    <xf numFmtId="9" fontId="0" fillId="0" borderId="0" xfId="1" applyFont="1"/>
    <xf numFmtId="166" fontId="0" fillId="0" borderId="23" xfId="0" applyNumberFormat="1" applyBorder="1"/>
    <xf numFmtId="0" fontId="0" fillId="0" borderId="24" xfId="0" applyBorder="1" applyAlignment="1">
      <alignment horizontal="center"/>
    </xf>
    <xf numFmtId="166" fontId="0" fillId="0" borderId="13" xfId="0" applyNumberFormat="1" applyBorder="1"/>
    <xf numFmtId="0" fontId="0" fillId="0" borderId="0" xfId="0" applyFill="1" applyBorder="1"/>
    <xf numFmtId="0" fontId="1" fillId="0" borderId="0" xfId="0" applyFont="1" applyBorder="1"/>
    <xf numFmtId="0" fontId="0" fillId="0" borderId="14" xfId="0" applyBorder="1"/>
    <xf numFmtId="3" fontId="0" fillId="0" borderId="13" xfId="0" applyNumberFormat="1" applyBorder="1"/>
    <xf numFmtId="0" fontId="0" fillId="0" borderId="0" xfId="0" applyAlignment="1">
      <alignment wrapText="1"/>
    </xf>
    <xf numFmtId="0" fontId="0" fillId="0" borderId="0" xfId="0"/>
    <xf numFmtId="0" fontId="6" fillId="3" borderId="0" xfId="0" applyFont="1" applyFill="1"/>
    <xf numFmtId="0" fontId="6" fillId="3" borderId="0" xfId="0" applyFont="1" applyFill="1" applyAlignment="1">
      <alignment wrapText="1"/>
    </xf>
    <xf numFmtId="0" fontId="4" fillId="0" borderId="0" xfId="0" applyFont="1" applyFill="1" applyBorder="1" applyAlignment="1">
      <alignment horizontal="left" vertical="top" wrapText="1"/>
    </xf>
    <xf numFmtId="0" fontId="0" fillId="0" borderId="28" xfId="0" applyBorder="1"/>
    <xf numFmtId="0" fontId="0" fillId="0" borderId="31" xfId="0" applyBorder="1"/>
    <xf numFmtId="0" fontId="0" fillId="0" borderId="13" xfId="0" applyBorder="1" applyAlignment="1">
      <alignment horizontal="center" wrapText="1"/>
    </xf>
    <xf numFmtId="164" fontId="0" fillId="0" borderId="13" xfId="0" applyNumberFormat="1" applyBorder="1"/>
    <xf numFmtId="0" fontId="0" fillId="0" borderId="13" xfId="0" applyBorder="1" applyAlignment="1">
      <alignment wrapText="1"/>
    </xf>
    <xf numFmtId="164" fontId="0" fillId="0" borderId="13" xfId="0" applyNumberFormat="1" applyBorder="1" applyAlignment="1">
      <alignment horizontal="center" wrapText="1"/>
    </xf>
    <xf numFmtId="0" fontId="0" fillId="0" borderId="18" xfId="0" applyBorder="1" applyAlignment="1">
      <alignment horizontal="center" wrapText="1"/>
    </xf>
    <xf numFmtId="0" fontId="0" fillId="0" borderId="21" xfId="0" applyBorder="1" applyAlignment="1">
      <alignment wrapText="1"/>
    </xf>
    <xf numFmtId="0" fontId="0" fillId="0" borderId="21" xfId="0" applyBorder="1" applyAlignment="1">
      <alignment horizontal="center" wrapText="1"/>
    </xf>
    <xf numFmtId="0" fontId="0" fillId="0" borderId="23" xfId="0" applyBorder="1" applyAlignment="1">
      <alignment wrapText="1"/>
    </xf>
    <xf numFmtId="164" fontId="0" fillId="0" borderId="23" xfId="0" applyNumberFormat="1" applyBorder="1"/>
    <xf numFmtId="3" fontId="0" fillId="0" borderId="23" xfId="0" applyNumberFormat="1" applyBorder="1"/>
    <xf numFmtId="0" fontId="0" fillId="0" borderId="23" xfId="0" applyBorder="1" applyAlignment="1">
      <alignment horizontal="center" wrapText="1"/>
    </xf>
    <xf numFmtId="0" fontId="0" fillId="0" borderId="24" xfId="0" applyBorder="1" applyAlignment="1">
      <alignment horizontal="center" wrapText="1"/>
    </xf>
    <xf numFmtId="166" fontId="0" fillId="0" borderId="26" xfId="0" applyNumberFormat="1" applyBorder="1"/>
    <xf numFmtId="2" fontId="0" fillId="0" borderId="25" xfId="0" applyNumberFormat="1" applyBorder="1"/>
    <xf numFmtId="2" fontId="0" fillId="0" borderId="21" xfId="0" applyNumberFormat="1" applyBorder="1"/>
    <xf numFmtId="2" fontId="0" fillId="0" borderId="24" xfId="0" applyNumberFormat="1" applyBorder="1"/>
    <xf numFmtId="0" fontId="0" fillId="0" borderId="30" xfId="0" applyBorder="1"/>
    <xf numFmtId="0" fontId="0" fillId="0" borderId="28" xfId="0" applyBorder="1" applyAlignment="1">
      <alignment wrapText="1"/>
    </xf>
    <xf numFmtId="0" fontId="0" fillId="0" borderId="0" xfId="0"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170" fontId="0" fillId="0" borderId="0" xfId="0" applyNumberFormat="1"/>
    <xf numFmtId="0" fontId="0" fillId="0" borderId="7" xfId="0" applyBorder="1"/>
    <xf numFmtId="0" fontId="0" fillId="0" borderId="3" xfId="0" applyBorder="1"/>
    <xf numFmtId="0" fontId="0" fillId="0" borderId="16" xfId="0" applyBorder="1" applyAlignment="1">
      <alignment wrapText="1"/>
    </xf>
    <xf numFmtId="0" fontId="0" fillId="0" borderId="16" xfId="0" applyBorder="1"/>
    <xf numFmtId="0" fontId="0" fillId="0" borderId="16" xfId="0" applyFill="1" applyBorder="1"/>
    <xf numFmtId="0" fontId="0" fillId="0" borderId="3" xfId="0" applyFill="1" applyBorder="1"/>
    <xf numFmtId="0" fontId="0" fillId="0" borderId="1" xfId="0" applyBorder="1" applyAlignment="1">
      <alignment wrapText="1"/>
    </xf>
    <xf numFmtId="4" fontId="0" fillId="0" borderId="0" xfId="0" applyNumberFormat="1" applyBorder="1"/>
    <xf numFmtId="3" fontId="0" fillId="0" borderId="0" xfId="0" applyNumberFormat="1" applyBorder="1"/>
    <xf numFmtId="4" fontId="0" fillId="0" borderId="13" xfId="0" applyNumberFormat="1" applyBorder="1"/>
    <xf numFmtId="0" fontId="0" fillId="0" borderId="21" xfId="0" applyFill="1" applyBorder="1"/>
    <xf numFmtId="0" fontId="0" fillId="0" borderId="24" xfId="0" applyFill="1" applyBorder="1"/>
    <xf numFmtId="170" fontId="0" fillId="0" borderId="21" xfId="0" applyNumberFormat="1" applyBorder="1"/>
    <xf numFmtId="170" fontId="0" fillId="0" borderId="24" xfId="0" applyNumberFormat="1" applyBorder="1"/>
    <xf numFmtId="0" fontId="0" fillId="0" borderId="32" xfId="0" applyBorder="1"/>
    <xf numFmtId="0" fontId="0" fillId="0" borderId="33" xfId="0" applyBorder="1"/>
    <xf numFmtId="170" fontId="0" fillId="0" borderId="25" xfId="0" applyNumberFormat="1" applyBorder="1"/>
    <xf numFmtId="0" fontId="0" fillId="0" borderId="34" xfId="0" applyBorder="1" applyAlignment="1">
      <alignment horizontal="center"/>
    </xf>
    <xf numFmtId="0" fontId="0" fillId="0" borderId="35" xfId="0" applyBorder="1" applyAlignment="1">
      <alignment horizontal="center"/>
    </xf>
    <xf numFmtId="0" fontId="0" fillId="0" borderId="0" xfId="0" applyFill="1"/>
    <xf numFmtId="0" fontId="0" fillId="0" borderId="0" xfId="0" applyAlignment="1"/>
    <xf numFmtId="0" fontId="0" fillId="0" borderId="15" xfId="0" applyFill="1" applyBorder="1" applyAlignment="1">
      <alignment horizontal="center"/>
    </xf>
    <xf numFmtId="0" fontId="0" fillId="0" borderId="16" xfId="0" applyBorder="1" applyAlignment="1">
      <alignment horizontal="center" wrapText="1"/>
    </xf>
    <xf numFmtId="0" fontId="0" fillId="0" borderId="16" xfId="0" applyBorder="1" applyAlignment="1">
      <alignment horizontal="center"/>
    </xf>
    <xf numFmtId="0" fontId="0" fillId="0" borderId="3" xfId="0" applyBorder="1" applyAlignment="1">
      <alignment horizontal="center" wrapText="1"/>
    </xf>
    <xf numFmtId="0" fontId="0" fillId="0" borderId="0" xfId="0" applyAlignment="1">
      <alignment horizontal="center"/>
    </xf>
    <xf numFmtId="0" fontId="0" fillId="4" borderId="0" xfId="0" applyFill="1" applyAlignment="1">
      <alignment horizontal="center"/>
    </xf>
    <xf numFmtId="0" fontId="14" fillId="6" borderId="0" xfId="0" applyFont="1" applyFill="1" applyBorder="1" applyAlignment="1">
      <alignment horizontal="center"/>
    </xf>
    <xf numFmtId="0" fontId="0" fillId="6" borderId="0" xfId="0" applyFill="1" applyBorder="1"/>
    <xf numFmtId="0" fontId="0" fillId="6" borderId="0" xfId="0" applyFill="1" applyBorder="1" applyAlignment="1">
      <alignment vertical="center" wrapText="1"/>
    </xf>
    <xf numFmtId="0" fontId="0" fillId="6" borderId="0" xfId="0" applyFill="1"/>
    <xf numFmtId="0" fontId="1" fillId="6" borderId="0" xfId="0" applyFont="1" applyFill="1" applyBorder="1"/>
    <xf numFmtId="0" fontId="0" fillId="6" borderId="0" xfId="0" applyFill="1" applyBorder="1" applyAlignment="1">
      <alignment horizontal="right"/>
    </xf>
    <xf numFmtId="0" fontId="1" fillId="6" borderId="0" xfId="0" applyFont="1" applyFill="1" applyBorder="1" applyAlignment="1">
      <alignment horizontal="right"/>
    </xf>
    <xf numFmtId="0" fontId="1" fillId="6" borderId="0" xfId="0" applyFont="1" applyFill="1" applyBorder="1" applyAlignment="1">
      <alignment horizontal="right" vertical="center" wrapText="1"/>
    </xf>
    <xf numFmtId="0" fontId="1" fillId="6" borderId="0" xfId="0" applyFont="1" applyFill="1"/>
    <xf numFmtId="0" fontId="4" fillId="6" borderId="0" xfId="0" applyFont="1" applyFill="1"/>
    <xf numFmtId="0" fontId="14" fillId="6" borderId="0" xfId="0" applyFont="1" applyFill="1" applyBorder="1" applyAlignment="1">
      <alignment horizontal="right"/>
    </xf>
    <xf numFmtId="0" fontId="1" fillId="0" borderId="0" xfId="0" applyFont="1" applyAlignment="1">
      <alignment horizontal="right"/>
    </xf>
    <xf numFmtId="0" fontId="15" fillId="6" borderId="0" xfId="0" applyFont="1" applyFill="1" applyBorder="1" applyAlignment="1">
      <alignment horizontal="center" vertical="center"/>
    </xf>
    <xf numFmtId="0" fontId="1" fillId="6" borderId="0" xfId="0" applyFont="1" applyFill="1" applyAlignment="1">
      <alignment horizontal="right"/>
    </xf>
    <xf numFmtId="0" fontId="1" fillId="6" borderId="0" xfId="0" applyFont="1" applyFill="1" applyBorder="1" applyAlignment="1">
      <alignment horizontal="center" vertical="center"/>
    </xf>
    <xf numFmtId="0" fontId="1" fillId="6" borderId="0" xfId="0" applyFont="1" applyFill="1" applyBorder="1" applyAlignment="1">
      <alignment horizontal="center" vertical="center" wrapText="1"/>
    </xf>
    <xf numFmtId="1" fontId="1" fillId="6" borderId="0" xfId="0" applyNumberFormat="1" applyFont="1" applyFill="1"/>
    <xf numFmtId="1" fontId="0" fillId="6" borderId="0" xfId="0" applyNumberFormat="1" applyFill="1"/>
    <xf numFmtId="0" fontId="17" fillId="0" borderId="0" xfId="0" applyFont="1" applyFill="1" applyBorder="1" applyAlignment="1">
      <alignment vertical="center" wrapText="1"/>
    </xf>
    <xf numFmtId="0" fontId="18" fillId="4" borderId="0" xfId="0" applyFont="1" applyFill="1" applyBorder="1" applyAlignment="1">
      <alignment horizontal="center" vertical="center" wrapText="1"/>
    </xf>
    <xf numFmtId="183" fontId="18" fillId="4" borderId="0" xfId="4" applyNumberFormat="1" applyFont="1" applyFill="1" applyBorder="1" applyAlignment="1">
      <alignment horizontal="center" vertical="center" wrapText="1"/>
    </xf>
    <xf numFmtId="183" fontId="17" fillId="0" borderId="0" xfId="4" applyNumberFormat="1" applyFont="1" applyFill="1" applyBorder="1" applyAlignment="1">
      <alignment vertical="center" wrapText="1"/>
    </xf>
    <xf numFmtId="0" fontId="1" fillId="6" borderId="0" xfId="0" applyFont="1" applyFill="1" applyAlignment="1">
      <alignment horizontal="center"/>
    </xf>
    <xf numFmtId="180" fontId="19" fillId="5" borderId="0" xfId="0" applyNumberFormat="1" applyFont="1" applyFill="1" applyBorder="1" applyAlignment="1">
      <alignment vertical="center" shrinkToFit="1"/>
    </xf>
    <xf numFmtId="0" fontId="0" fillId="6" borderId="0" xfId="0" applyFill="1" applyAlignment="1">
      <alignment wrapText="1"/>
    </xf>
    <xf numFmtId="0" fontId="0" fillId="6" borderId="0" xfId="0" applyFill="1" applyAlignment="1"/>
    <xf numFmtId="0" fontId="19" fillId="6" borderId="0" xfId="0" applyFont="1" applyFill="1" applyBorder="1" applyAlignment="1">
      <alignment horizontal="right" vertical="center"/>
    </xf>
    <xf numFmtId="0" fontId="0" fillId="6" borderId="0" xfId="0" applyFont="1" applyFill="1"/>
    <xf numFmtId="179" fontId="1" fillId="6" borderId="0" xfId="0" applyNumberFormat="1" applyFont="1" applyFill="1" applyBorder="1" applyAlignment="1">
      <alignment vertical="center" shrinkToFit="1"/>
    </xf>
    <xf numFmtId="180" fontId="1" fillId="6" borderId="0" xfId="0" applyNumberFormat="1" applyFont="1" applyFill="1" applyBorder="1" applyAlignment="1">
      <alignment vertical="center" shrinkToFit="1"/>
    </xf>
    <xf numFmtId="0" fontId="19" fillId="6" borderId="0" xfId="0" applyFont="1" applyFill="1" applyBorder="1" applyAlignment="1">
      <alignment horizontal="center" vertical="center"/>
    </xf>
    <xf numFmtId="0" fontId="16" fillId="6" borderId="0" xfId="0" applyFont="1" applyFill="1" applyBorder="1" applyAlignment="1">
      <alignment horizontal="center" vertical="center"/>
    </xf>
    <xf numFmtId="0" fontId="4" fillId="6" borderId="0" xfId="0" applyFont="1" applyFill="1" applyBorder="1"/>
    <xf numFmtId="0" fontId="9" fillId="0" borderId="0" xfId="0" applyFont="1" applyBorder="1"/>
    <xf numFmtId="0" fontId="12" fillId="6" borderId="0" xfId="0" applyFont="1" applyFill="1" applyBorder="1" applyAlignment="1">
      <alignment horizontal="center"/>
    </xf>
    <xf numFmtId="2" fontId="1" fillId="4" borderId="0" xfId="0" applyNumberFormat="1" applyFont="1" applyFill="1"/>
    <xf numFmtId="0" fontId="0" fillId="6" borderId="0" xfId="0" applyFill="1" applyAlignment="1">
      <alignment horizontal="right"/>
    </xf>
    <xf numFmtId="0" fontId="1" fillId="6" borderId="0" xfId="0" applyFont="1" applyFill="1" applyAlignment="1">
      <alignment horizontal="center"/>
    </xf>
    <xf numFmtId="9" fontId="12" fillId="6" borderId="0" xfId="1" applyFont="1" applyFill="1" applyBorder="1" applyAlignment="1">
      <alignment horizontal="center"/>
    </xf>
    <xf numFmtId="9" fontId="12" fillId="6" borderId="0" xfId="1" applyFont="1" applyFill="1" applyBorder="1" applyAlignment="1">
      <alignment horizontal="center" vertical="center" wrapText="1"/>
    </xf>
    <xf numFmtId="165" fontId="1" fillId="6" borderId="37" xfId="2" applyFont="1" applyFill="1" applyBorder="1" applyAlignment="1">
      <alignment vertical="center" shrinkToFit="1"/>
    </xf>
    <xf numFmtId="184" fontId="1" fillId="6" borderId="37" xfId="0" applyNumberFormat="1" applyFont="1" applyFill="1" applyBorder="1" applyAlignment="1">
      <alignment horizontal="center" vertical="center" shrinkToFit="1"/>
    </xf>
    <xf numFmtId="166" fontId="0" fillId="6" borderId="0" xfId="0" applyNumberFormat="1" applyFill="1"/>
    <xf numFmtId="0" fontId="0" fillId="6" borderId="0" xfId="0" applyFont="1" applyFill="1" applyBorder="1"/>
    <xf numFmtId="0" fontId="0" fillId="6" borderId="0" xfId="0" applyFont="1" applyFill="1" applyBorder="1" applyAlignment="1">
      <alignment horizontal="right"/>
    </xf>
    <xf numFmtId="172" fontId="12" fillId="6" borderId="37" xfId="0" applyNumberFormat="1" applyFont="1" applyFill="1" applyBorder="1" applyAlignment="1">
      <alignment horizontal="center" vertical="center"/>
    </xf>
    <xf numFmtId="173" fontId="12" fillId="6" borderId="37" xfId="0" applyNumberFormat="1" applyFont="1" applyFill="1" applyBorder="1" applyAlignment="1">
      <alignment horizontal="center" vertical="center"/>
    </xf>
    <xf numFmtId="0" fontId="23" fillId="0" borderId="0" xfId="0" applyFont="1"/>
    <xf numFmtId="4" fontId="0" fillId="0" borderId="23" xfId="0" applyNumberFormat="1" applyBorder="1"/>
    <xf numFmtId="0" fontId="0" fillId="6" borderId="0" xfId="0" applyFont="1" applyFill="1" applyAlignment="1"/>
    <xf numFmtId="0" fontId="0" fillId="6" borderId="0" xfId="0" applyFill="1" applyBorder="1" applyAlignment="1">
      <alignment horizontal="center"/>
    </xf>
    <xf numFmtId="0" fontId="0" fillId="6" borderId="0" xfId="0" applyFill="1" applyAlignment="1">
      <alignment horizontal="center"/>
    </xf>
    <xf numFmtId="0" fontId="0" fillId="6" borderId="0" xfId="0" applyFont="1" applyFill="1" applyAlignment="1">
      <alignment horizontal="right"/>
    </xf>
    <xf numFmtId="0" fontId="1" fillId="4" borderId="8" xfId="0" applyFont="1" applyFill="1" applyBorder="1"/>
    <xf numFmtId="0" fontId="1" fillId="4" borderId="14" xfId="0" applyFont="1" applyFill="1" applyBorder="1"/>
    <xf numFmtId="0" fontId="1" fillId="4" borderId="17" xfId="0" applyFont="1" applyFill="1" applyBorder="1" applyAlignment="1">
      <alignment horizontal="center"/>
    </xf>
    <xf numFmtId="0" fontId="1" fillId="4" borderId="15" xfId="0" applyFont="1" applyFill="1" applyBorder="1"/>
    <xf numFmtId="0" fontId="1" fillId="4" borderId="0" xfId="0" applyFont="1" applyFill="1" applyBorder="1"/>
    <xf numFmtId="0" fontId="1" fillId="4" borderId="22"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17" xfId="0" applyFont="1" applyFill="1" applyBorder="1"/>
    <xf numFmtId="0" fontId="1" fillId="4" borderId="18" xfId="0" applyFont="1" applyFill="1" applyBorder="1"/>
    <xf numFmtId="0" fontId="1" fillId="4" borderId="0" xfId="0" applyFont="1" applyFill="1" applyBorder="1" applyAlignment="1">
      <alignment horizontal="center"/>
    </xf>
    <xf numFmtId="0" fontId="1" fillId="4" borderId="19" xfId="0" applyFont="1" applyFill="1" applyBorder="1"/>
    <xf numFmtId="0" fontId="0" fillId="6" borderId="0" xfId="0" applyFill="1" applyBorder="1" applyAlignment="1"/>
    <xf numFmtId="193" fontId="1" fillId="6" borderId="0" xfId="0" applyNumberFormat="1" applyFont="1" applyFill="1" applyBorder="1" applyAlignment="1">
      <alignment horizontal="center"/>
    </xf>
    <xf numFmtId="0" fontId="0" fillId="6" borderId="0" xfId="0" applyFont="1" applyFill="1" applyBorder="1" applyAlignment="1"/>
    <xf numFmtId="0" fontId="0" fillId="6" borderId="0" xfId="0" applyFont="1" applyFill="1" applyBorder="1" applyAlignment="1">
      <alignment wrapText="1"/>
    </xf>
    <xf numFmtId="172" fontId="1" fillId="6" borderId="0" xfId="0" applyNumberFormat="1" applyFont="1" applyFill="1" applyBorder="1" applyAlignment="1">
      <alignment vertical="center" shrinkToFit="1"/>
    </xf>
    <xf numFmtId="0" fontId="0" fillId="6" borderId="0" xfId="0" applyFill="1" applyBorder="1" applyAlignment="1">
      <alignment horizontal="center" vertical="center" wrapText="1"/>
    </xf>
    <xf numFmtId="0" fontId="0" fillId="6" borderId="0" xfId="0" applyFill="1" applyBorder="1" applyAlignment="1">
      <alignment wrapText="1"/>
    </xf>
    <xf numFmtId="0" fontId="0" fillId="6" borderId="0" xfId="0" applyFill="1" applyBorder="1" applyAlignment="1">
      <alignment vertical="center"/>
    </xf>
    <xf numFmtId="1" fontId="1" fillId="6" borderId="0" xfId="0" applyNumberFormat="1" applyFont="1" applyFill="1" applyAlignment="1">
      <alignment horizontal="center" vertical="center"/>
    </xf>
    <xf numFmtId="0" fontId="9" fillId="6" borderId="0" xfId="0" applyFont="1" applyFill="1"/>
    <xf numFmtId="0" fontId="3" fillId="6" borderId="0" xfId="0" applyFont="1" applyFill="1"/>
    <xf numFmtId="169" fontId="0" fillId="6" borderId="0" xfId="0" applyNumberFormat="1" applyFill="1"/>
    <xf numFmtId="0" fontId="10" fillId="6" borderId="0" xfId="0" applyFont="1" applyFill="1"/>
    <xf numFmtId="167" fontId="10" fillId="6" borderId="0" xfId="0" applyNumberFormat="1" applyFont="1" applyFill="1"/>
    <xf numFmtId="2" fontId="0" fillId="6" borderId="0" xfId="0" applyNumberFormat="1" applyFill="1"/>
    <xf numFmtId="11" fontId="0" fillId="6" borderId="0" xfId="0" applyNumberFormat="1" applyFill="1"/>
    <xf numFmtId="168" fontId="0" fillId="6" borderId="0" xfId="0" applyNumberFormat="1" applyFill="1"/>
    <xf numFmtId="0" fontId="0" fillId="6" borderId="4" xfId="0" applyFill="1" applyBorder="1" applyAlignment="1">
      <alignment horizontal="center"/>
    </xf>
    <xf numFmtId="0" fontId="0" fillId="6" borderId="11" xfId="0" applyFill="1" applyBorder="1" applyAlignment="1">
      <alignment horizontal="center"/>
    </xf>
    <xf numFmtId="0" fontId="0" fillId="6" borderId="10" xfId="0" applyFill="1" applyBorder="1" applyAlignment="1">
      <alignment horizont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6" xfId="0" applyFill="1" applyBorder="1" applyAlignment="1">
      <alignment horizontal="center" wrapText="1"/>
    </xf>
    <xf numFmtId="0" fontId="0" fillId="6" borderId="15" xfId="0" applyFill="1" applyBorder="1" applyAlignment="1">
      <alignment horizontal="center"/>
    </xf>
    <xf numFmtId="0" fontId="0" fillId="6" borderId="16" xfId="0" applyFill="1" applyBorder="1" applyAlignment="1">
      <alignment horizontal="center"/>
    </xf>
    <xf numFmtId="0" fontId="0" fillId="6" borderId="3" xfId="0" applyFill="1" applyBorder="1" applyAlignment="1">
      <alignment horizontal="center" wrapText="1"/>
    </xf>
    <xf numFmtId="0" fontId="0" fillId="6" borderId="13" xfId="0" applyFill="1" applyBorder="1" applyAlignment="1">
      <alignment horizontal="center"/>
    </xf>
    <xf numFmtId="0" fontId="0" fillId="6" borderId="21" xfId="0" applyFill="1" applyBorder="1" applyAlignment="1">
      <alignment horizontal="center"/>
    </xf>
    <xf numFmtId="0" fontId="0" fillId="6" borderId="20" xfId="0" applyFill="1" applyBorder="1" applyAlignment="1">
      <alignment horizontal="center"/>
    </xf>
    <xf numFmtId="0" fontId="0" fillId="6" borderId="22"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1" fillId="4" borderId="11" xfId="0" applyFont="1" applyFill="1" applyBorder="1" applyAlignment="1">
      <alignment horizontal="center"/>
    </xf>
    <xf numFmtId="0" fontId="1" fillId="4" borderId="4" xfId="0" applyFont="1" applyFill="1" applyBorder="1" applyAlignment="1">
      <alignment horizontal="center"/>
    </xf>
    <xf numFmtId="0" fontId="1" fillId="4" borderId="13" xfId="0" applyFont="1" applyFill="1" applyBorder="1" applyAlignment="1">
      <alignment horizontal="center"/>
    </xf>
    <xf numFmtId="0" fontId="1" fillId="4" borderId="13" xfId="0" applyFont="1" applyFill="1" applyBorder="1" applyAlignment="1">
      <alignment wrapText="1"/>
    </xf>
    <xf numFmtId="0" fontId="1" fillId="4" borderId="18" xfId="0" applyFont="1" applyFill="1" applyBorder="1" applyAlignment="1"/>
    <xf numFmtId="0" fontId="1" fillId="4" borderId="19" xfId="0" applyFont="1" applyFill="1" applyBorder="1" applyAlignment="1"/>
    <xf numFmtId="0" fontId="1" fillId="4" borderId="20" xfId="0" applyFont="1" applyFill="1" applyBorder="1" applyAlignment="1">
      <alignment horizontal="center"/>
    </xf>
    <xf numFmtId="0" fontId="1" fillId="4" borderId="21" xfId="0" applyFont="1" applyFill="1" applyBorder="1" applyAlignment="1">
      <alignment horizontal="center"/>
    </xf>
    <xf numFmtId="3" fontId="0" fillId="6" borderId="0" xfId="0" applyNumberFormat="1" applyFill="1"/>
    <xf numFmtId="197" fontId="1" fillId="6" borderId="0" xfId="0" applyNumberFormat="1" applyFont="1" applyFill="1" applyBorder="1" applyAlignment="1">
      <alignment horizontal="center" vertical="center" shrinkToFit="1"/>
    </xf>
    <xf numFmtId="1" fontId="1" fillId="6" borderId="0" xfId="0" applyNumberFormat="1" applyFont="1" applyFill="1" applyBorder="1" applyAlignment="1">
      <alignment horizontal="center" vertical="center" shrinkToFit="1"/>
    </xf>
    <xf numFmtId="176" fontId="1" fillId="6" borderId="0" xfId="0" applyNumberFormat="1" applyFont="1" applyFill="1" applyBorder="1" applyAlignment="1">
      <alignment horizontal="center" vertical="center" shrinkToFit="1"/>
    </xf>
    <xf numFmtId="0" fontId="12" fillId="6" borderId="0" xfId="0" applyFont="1" applyFill="1" applyBorder="1" applyAlignment="1">
      <alignment horizontal="center" vertical="center"/>
    </xf>
    <xf numFmtId="181" fontId="12" fillId="6" borderId="0" xfId="0" applyNumberFormat="1" applyFont="1" applyFill="1" applyBorder="1" applyAlignment="1">
      <alignment horizontal="center" vertical="center"/>
    </xf>
    <xf numFmtId="172" fontId="12" fillId="9" borderId="37" xfId="0" applyNumberFormat="1" applyFont="1" applyFill="1" applyBorder="1" applyAlignment="1">
      <alignment horizontal="center" vertical="center" shrinkToFit="1"/>
    </xf>
    <xf numFmtId="172" fontId="1" fillId="10" borderId="37" xfId="0" applyNumberFormat="1" applyFont="1" applyFill="1" applyBorder="1" applyAlignment="1">
      <alignment horizontal="center" vertical="center" shrinkToFit="1"/>
    </xf>
    <xf numFmtId="0" fontId="29" fillId="6" borderId="0" xfId="0" applyFont="1" applyFill="1"/>
    <xf numFmtId="0" fontId="29" fillId="6" borderId="0" xfId="0" applyFont="1" applyFill="1" applyBorder="1"/>
    <xf numFmtId="177" fontId="1" fillId="10" borderId="37" xfId="0" applyNumberFormat="1" applyFont="1" applyFill="1" applyBorder="1" applyAlignment="1">
      <alignment horizontal="center" vertical="center" shrinkToFit="1"/>
    </xf>
    <xf numFmtId="179" fontId="1" fillId="10" borderId="37" xfId="0" applyNumberFormat="1" applyFont="1" applyFill="1" applyBorder="1" applyAlignment="1">
      <alignment horizontal="center" vertical="center" shrinkToFit="1"/>
    </xf>
    <xf numFmtId="180" fontId="1" fillId="10" borderId="37" xfId="0" applyNumberFormat="1" applyFont="1" applyFill="1" applyBorder="1" applyAlignment="1">
      <alignment horizontal="center" vertical="center" shrinkToFit="1"/>
    </xf>
    <xf numFmtId="0" fontId="1" fillId="10" borderId="37" xfId="0" applyNumberFormat="1" applyFont="1" applyFill="1" applyBorder="1" applyAlignment="1">
      <alignment horizontal="center" vertical="center" shrinkToFit="1"/>
    </xf>
    <xf numFmtId="179" fontId="1" fillId="10" borderId="40" xfId="0" applyNumberFormat="1" applyFont="1" applyFill="1" applyBorder="1" applyAlignment="1">
      <alignment horizontal="center" vertical="center" shrinkToFit="1"/>
    </xf>
    <xf numFmtId="0" fontId="32" fillId="6" borderId="0" xfId="0" applyFont="1" applyFill="1" applyBorder="1" applyAlignment="1">
      <alignment horizontal="right"/>
    </xf>
    <xf numFmtId="0" fontId="14" fillId="6" borderId="0" xfId="0" applyFont="1" applyFill="1" applyBorder="1" applyAlignment="1">
      <alignment horizontal="right" vertical="center" wrapText="1"/>
    </xf>
    <xf numFmtId="0" fontId="14" fillId="6" borderId="0" xfId="0" applyNumberFormat="1" applyFont="1" applyFill="1" applyBorder="1" applyAlignment="1">
      <alignment horizontal="right" vertical="center" wrapText="1"/>
    </xf>
    <xf numFmtId="0" fontId="32" fillId="6" borderId="0" xfId="0" applyFont="1" applyFill="1" applyBorder="1" applyAlignment="1">
      <alignment vertical="center" wrapText="1"/>
    </xf>
    <xf numFmtId="171" fontId="32" fillId="6" borderId="37" xfId="0" applyNumberFormat="1" applyFont="1" applyFill="1" applyBorder="1" applyAlignment="1">
      <alignment horizontal="center" vertical="center"/>
    </xf>
    <xf numFmtId="0" fontId="32" fillId="6" borderId="0" xfId="0" applyFont="1" applyFill="1"/>
    <xf numFmtId="172" fontId="32" fillId="6" borderId="37" xfId="0" applyNumberFormat="1" applyFont="1" applyFill="1" applyBorder="1" applyAlignment="1">
      <alignment horizontal="center" vertical="center"/>
    </xf>
    <xf numFmtId="174" fontId="32" fillId="6" borderId="37" xfId="0" applyNumberFormat="1" applyFont="1" applyFill="1" applyBorder="1" applyAlignment="1">
      <alignment horizontal="center" vertical="center"/>
    </xf>
    <xf numFmtId="0" fontId="32" fillId="6" borderId="0" xfId="0" applyNumberFormat="1" applyFont="1" applyFill="1" applyBorder="1" applyAlignment="1">
      <alignment vertical="center" wrapText="1"/>
    </xf>
    <xf numFmtId="0" fontId="32" fillId="6" borderId="37" xfId="0" applyNumberFormat="1" applyFont="1" applyFill="1" applyBorder="1" applyAlignment="1">
      <alignment horizontal="center" vertical="center"/>
    </xf>
    <xf numFmtId="0" fontId="32" fillId="6" borderId="0" xfId="0" applyNumberFormat="1" applyFont="1" applyFill="1"/>
    <xf numFmtId="175" fontId="32" fillId="6" borderId="37" xfId="0" applyNumberFormat="1" applyFont="1" applyFill="1" applyBorder="1" applyAlignment="1">
      <alignment horizontal="center" vertical="center"/>
    </xf>
    <xf numFmtId="0" fontId="14" fillId="6" borderId="0" xfId="0" applyFont="1" applyFill="1"/>
    <xf numFmtId="0" fontId="32" fillId="6" borderId="0" xfId="0" applyFont="1" applyFill="1" applyBorder="1"/>
    <xf numFmtId="0" fontId="33" fillId="6" borderId="0" xfId="0" applyFont="1" applyFill="1"/>
    <xf numFmtId="179" fontId="10" fillId="10" borderId="37" xfId="0" applyNumberFormat="1" applyFont="1" applyFill="1" applyBorder="1" applyAlignment="1">
      <alignment horizontal="center" vertical="center" shrinkToFit="1"/>
    </xf>
    <xf numFmtId="180" fontId="10" fillId="10" borderId="37" xfId="0" applyNumberFormat="1" applyFont="1" applyFill="1" applyBorder="1" applyAlignment="1">
      <alignment horizontal="center" vertical="center" shrinkToFit="1"/>
    </xf>
    <xf numFmtId="184" fontId="1" fillId="10" borderId="37" xfId="0" applyNumberFormat="1" applyFont="1" applyFill="1" applyBorder="1" applyAlignment="1">
      <alignment horizontal="center" vertical="center" shrinkToFit="1"/>
    </xf>
    <xf numFmtId="165" fontId="1" fillId="10" borderId="37" xfId="2" applyFont="1" applyFill="1" applyBorder="1" applyAlignment="1">
      <alignment vertical="center" shrinkToFit="1"/>
    </xf>
    <xf numFmtId="166" fontId="1" fillId="10" borderId="37" xfId="0" applyNumberFormat="1" applyFont="1" applyFill="1" applyBorder="1" applyAlignment="1">
      <alignment horizontal="center" vertical="center" shrinkToFit="1"/>
    </xf>
    <xf numFmtId="165" fontId="1" fillId="10" borderId="37" xfId="2" applyFont="1" applyFill="1" applyBorder="1" applyAlignment="1">
      <alignment horizontal="center" vertical="center" shrinkToFit="1"/>
    </xf>
    <xf numFmtId="172" fontId="14" fillId="10" borderId="37" xfId="0" applyNumberFormat="1" applyFont="1" applyFill="1" applyBorder="1" applyAlignment="1" applyProtection="1">
      <alignment horizontal="center" vertical="center"/>
      <protection locked="0"/>
    </xf>
    <xf numFmtId="172" fontId="12" fillId="9" borderId="37" xfId="0" applyNumberFormat="1" applyFont="1" applyFill="1" applyBorder="1" applyAlignment="1" applyProtection="1">
      <alignment horizontal="center" vertical="center"/>
      <protection locked="0"/>
    </xf>
    <xf numFmtId="174" fontId="14" fillId="10" borderId="37" xfId="0" applyNumberFormat="1" applyFont="1" applyFill="1" applyBorder="1" applyAlignment="1" applyProtection="1">
      <alignment horizontal="center" vertical="center"/>
      <protection locked="0"/>
    </xf>
    <xf numFmtId="0" fontId="14" fillId="10" borderId="37" xfId="0" applyNumberFormat="1" applyFont="1" applyFill="1" applyBorder="1" applyAlignment="1" applyProtection="1">
      <alignment horizontal="center" vertical="center"/>
      <protection locked="0"/>
    </xf>
    <xf numFmtId="175" fontId="14" fillId="10" borderId="37" xfId="0" applyNumberFormat="1" applyFont="1" applyFill="1" applyBorder="1" applyAlignment="1" applyProtection="1">
      <alignment horizontal="center" vertical="center"/>
      <protection locked="0"/>
    </xf>
    <xf numFmtId="173" fontId="12" fillId="9" borderId="37" xfId="0" applyNumberFormat="1" applyFont="1" applyFill="1" applyBorder="1" applyAlignment="1" applyProtection="1">
      <alignment horizontal="center" vertical="center"/>
      <protection locked="0"/>
    </xf>
    <xf numFmtId="172" fontId="14" fillId="10" borderId="37" xfId="0" applyNumberFormat="1" applyFont="1" applyFill="1" applyBorder="1" applyAlignment="1" applyProtection="1">
      <alignment horizontal="center" vertical="center"/>
    </xf>
    <xf numFmtId="172" fontId="12" fillId="9" borderId="37" xfId="0" applyNumberFormat="1" applyFont="1" applyFill="1" applyBorder="1" applyAlignment="1" applyProtection="1">
      <alignment horizontal="center" vertical="center"/>
    </xf>
    <xf numFmtId="174" fontId="14" fillId="10" borderId="37" xfId="0" applyNumberFormat="1" applyFont="1" applyFill="1" applyBorder="1" applyAlignment="1" applyProtection="1">
      <alignment horizontal="center" vertical="center"/>
    </xf>
    <xf numFmtId="0" fontId="14" fillId="10" borderId="37" xfId="0" applyNumberFormat="1" applyFont="1" applyFill="1" applyBorder="1" applyAlignment="1" applyProtection="1">
      <alignment horizontal="center" vertical="center"/>
    </xf>
    <xf numFmtId="175" fontId="14" fillId="10" borderId="37" xfId="0" applyNumberFormat="1" applyFont="1" applyFill="1" applyBorder="1" applyAlignment="1" applyProtection="1">
      <alignment horizontal="center" vertical="center"/>
    </xf>
    <xf numFmtId="173" fontId="12" fillId="9" borderId="37" xfId="0" applyNumberFormat="1" applyFont="1" applyFill="1" applyBorder="1" applyAlignment="1" applyProtection="1">
      <alignment horizontal="center" vertical="center"/>
    </xf>
    <xf numFmtId="0" fontId="34" fillId="6" borderId="0" xfId="7" applyFont="1" applyFill="1" applyProtection="1">
      <protection locked="0"/>
    </xf>
    <xf numFmtId="1" fontId="6" fillId="9" borderId="38" xfId="0" applyNumberFormat="1" applyFont="1" applyFill="1" applyBorder="1" applyAlignment="1" applyProtection="1">
      <alignment horizontal="center" vertical="center" shrinkToFit="1"/>
      <protection locked="0"/>
    </xf>
    <xf numFmtId="178" fontId="12" fillId="9" borderId="40" xfId="0" applyNumberFormat="1" applyFont="1" applyFill="1" applyBorder="1" applyAlignment="1" applyProtection="1">
      <alignment horizontal="center"/>
      <protection locked="0"/>
    </xf>
    <xf numFmtId="0" fontId="12" fillId="9" borderId="41" xfId="0" applyFont="1" applyFill="1" applyBorder="1" applyAlignment="1" applyProtection="1">
      <alignment horizontal="center"/>
      <protection locked="0"/>
    </xf>
    <xf numFmtId="181" fontId="12" fillId="9" borderId="40" xfId="0" applyNumberFormat="1" applyFont="1" applyFill="1" applyBorder="1" applyAlignment="1" applyProtection="1">
      <alignment horizontal="center"/>
      <protection locked="0"/>
    </xf>
    <xf numFmtId="0" fontId="35" fillId="6" borderId="0" xfId="0" applyFont="1" applyFill="1" applyAlignment="1">
      <alignment horizontal="left" vertical="center"/>
    </xf>
    <xf numFmtId="0" fontId="36" fillId="6" borderId="0" xfId="0" applyFont="1" applyFill="1"/>
    <xf numFmtId="0" fontId="37" fillId="6" borderId="0" xfId="0" applyFont="1" applyFill="1"/>
    <xf numFmtId="0" fontId="38" fillId="11" borderId="0" xfId="0" applyFont="1" applyFill="1" applyAlignment="1">
      <alignment horizontal="left" vertical="center"/>
    </xf>
    <xf numFmtId="0" fontId="39" fillId="11" borderId="0" xfId="0" applyFont="1" applyFill="1"/>
    <xf numFmtId="0" fontId="40" fillId="6" borderId="0" xfId="0" applyFont="1" applyFill="1"/>
    <xf numFmtId="0" fontId="19" fillId="6" borderId="0" xfId="0" applyFont="1" applyFill="1" applyBorder="1"/>
    <xf numFmtId="0" fontId="26" fillId="6" borderId="0" xfId="0" applyFont="1" applyFill="1" applyBorder="1"/>
    <xf numFmtId="0" fontId="1" fillId="6" borderId="0" xfId="0" applyFont="1" applyFill="1" applyBorder="1" applyAlignment="1">
      <alignment vertical="center"/>
    </xf>
    <xf numFmtId="0" fontId="27" fillId="6" borderId="0" xfId="0" applyFont="1" applyFill="1" applyBorder="1" applyAlignment="1">
      <alignment vertical="center"/>
    </xf>
    <xf numFmtId="0" fontId="3" fillId="6" borderId="0" xfId="0" applyFont="1" applyFill="1" applyBorder="1" applyAlignment="1">
      <alignment horizontal="right"/>
    </xf>
    <xf numFmtId="0" fontId="3" fillId="6" borderId="0" xfId="0" applyFont="1" applyFill="1" applyBorder="1"/>
    <xf numFmtId="0" fontId="41" fillId="6" borderId="0" xfId="0" applyFont="1" applyFill="1" applyAlignment="1">
      <alignment horizontal="right" vertical="center"/>
    </xf>
    <xf numFmtId="0" fontId="41" fillId="6" borderId="0" xfId="0" applyFont="1" applyFill="1" applyAlignment="1">
      <alignment horizontal="right"/>
    </xf>
    <xf numFmtId="0" fontId="43" fillId="6" borderId="0" xfId="0" applyFont="1" applyFill="1" applyAlignment="1">
      <alignment horizontal="center"/>
    </xf>
    <xf numFmtId="203" fontId="12" fillId="9" borderId="42" xfId="0" applyNumberFormat="1" applyFont="1" applyFill="1" applyBorder="1" applyAlignment="1" applyProtection="1">
      <alignment horizontal="center"/>
      <protection locked="0"/>
    </xf>
    <xf numFmtId="204" fontId="12" fillId="9" borderId="42" xfId="0" applyNumberFormat="1" applyFont="1" applyFill="1" applyBorder="1" applyAlignment="1" applyProtection="1">
      <alignment horizontal="center"/>
      <protection locked="0"/>
    </xf>
    <xf numFmtId="0" fontId="0" fillId="6" borderId="0" xfId="0" applyFill="1" applyBorder="1" applyAlignment="1">
      <alignment horizontal="center"/>
    </xf>
    <xf numFmtId="0" fontId="12" fillId="9" borderId="41" xfId="0" applyFont="1" applyFill="1" applyBorder="1" applyAlignment="1" applyProtection="1">
      <alignment horizontal="center" shrinkToFit="1"/>
      <protection locked="0"/>
    </xf>
    <xf numFmtId="0" fontId="45" fillId="6" borderId="0" xfId="0" applyFont="1" applyFill="1" applyBorder="1" applyAlignment="1">
      <alignment vertical="center"/>
    </xf>
    <xf numFmtId="0" fontId="45" fillId="6" borderId="0" xfId="0" applyFont="1" applyFill="1" applyBorder="1"/>
    <xf numFmtId="0" fontId="0" fillId="6" borderId="0" xfId="0" applyFill="1" applyAlignment="1">
      <alignment vertical="center"/>
    </xf>
    <xf numFmtId="0" fontId="45" fillId="6" borderId="0" xfId="0" applyFont="1" applyFill="1"/>
    <xf numFmtId="0" fontId="45" fillId="6" borderId="0" xfId="0" applyFont="1" applyFill="1" applyAlignment="1">
      <alignment vertical="center"/>
    </xf>
    <xf numFmtId="0" fontId="4" fillId="6" borderId="0" xfId="0" applyFont="1" applyFill="1" applyAlignment="1">
      <alignment vertical="center"/>
    </xf>
    <xf numFmtId="0" fontId="4" fillId="6" borderId="0" xfId="0" applyFont="1" applyFill="1" applyBorder="1" applyAlignment="1">
      <alignment vertical="center"/>
    </xf>
    <xf numFmtId="0" fontId="16" fillId="6" borderId="0" xfId="0" applyFont="1" applyFill="1" applyBorder="1" applyAlignment="1">
      <alignment horizontal="right" vertical="center"/>
    </xf>
    <xf numFmtId="172" fontId="13" fillId="6" borderId="0" xfId="0" applyNumberFormat="1" applyFont="1" applyFill="1" applyBorder="1" applyAlignment="1">
      <alignment horizontal="center" vertical="center" shrinkToFit="1"/>
    </xf>
    <xf numFmtId="0" fontId="4" fillId="6" borderId="0" xfId="0" applyFont="1" applyFill="1" applyBorder="1" applyAlignment="1">
      <alignment horizontal="center" vertical="center" wrapText="1"/>
    </xf>
    <xf numFmtId="0" fontId="4" fillId="6" borderId="0" xfId="0" applyFont="1" applyFill="1" applyBorder="1" applyAlignment="1">
      <alignment vertical="center" wrapText="1"/>
    </xf>
    <xf numFmtId="1" fontId="4" fillId="6" borderId="0" xfId="0" applyNumberFormat="1" applyFont="1" applyFill="1" applyBorder="1" applyAlignment="1">
      <alignment vertical="center"/>
    </xf>
    <xf numFmtId="0" fontId="52" fillId="6" borderId="0" xfId="0" applyFont="1" applyFill="1" applyBorder="1" applyAlignment="1">
      <alignment horizontal="right" vertical="center"/>
    </xf>
    <xf numFmtId="179" fontId="1" fillId="6" borderId="0" xfId="0" applyNumberFormat="1" applyFont="1" applyFill="1" applyBorder="1" applyAlignment="1">
      <alignment horizontal="center"/>
    </xf>
    <xf numFmtId="1" fontId="1" fillId="6" borderId="0" xfId="0" applyNumberFormat="1" applyFont="1" applyFill="1" applyBorder="1" applyAlignment="1">
      <alignment horizontal="center"/>
    </xf>
    <xf numFmtId="0" fontId="12" fillId="6" borderId="0" xfId="0" applyFont="1" applyFill="1" applyBorder="1" applyAlignment="1" applyProtection="1">
      <alignment horizontal="center"/>
      <protection locked="0"/>
    </xf>
    <xf numFmtId="186" fontId="0" fillId="6" borderId="0" xfId="0" applyNumberFormat="1" applyFill="1" applyBorder="1"/>
    <xf numFmtId="1" fontId="12" fillId="6" borderId="0" xfId="0" applyNumberFormat="1" applyFont="1" applyFill="1" applyBorder="1" applyAlignment="1">
      <alignment horizontal="center"/>
    </xf>
    <xf numFmtId="1" fontId="14" fillId="6" borderId="0" xfId="0" applyNumberFormat="1" applyFont="1" applyFill="1" applyBorder="1" applyAlignment="1" applyProtection="1">
      <alignment horizontal="center"/>
      <protection locked="0"/>
    </xf>
    <xf numFmtId="1" fontId="12" fillId="6" borderId="0" xfId="0" applyNumberFormat="1" applyFont="1" applyFill="1" applyBorder="1" applyAlignment="1" applyProtection="1">
      <alignment horizontal="center"/>
      <protection locked="0"/>
    </xf>
    <xf numFmtId="185" fontId="12" fillId="6" borderId="0" xfId="2" applyNumberFormat="1" applyFont="1" applyFill="1" applyBorder="1" applyAlignment="1">
      <alignment horizontal="center" vertical="center"/>
    </xf>
    <xf numFmtId="0" fontId="0" fillId="6" borderId="0" xfId="0" applyFill="1" applyBorder="1" applyAlignment="1">
      <alignment horizontal="right" wrapText="1"/>
    </xf>
    <xf numFmtId="0" fontId="1" fillId="6" borderId="0" xfId="0" applyFont="1" applyFill="1" applyBorder="1" applyAlignment="1">
      <alignment horizontal="right" wrapText="1"/>
    </xf>
    <xf numFmtId="0" fontId="0" fillId="6" borderId="0" xfId="0" applyFill="1" applyBorder="1" applyAlignment="1" applyProtection="1">
      <alignment wrapText="1"/>
      <protection locked="0"/>
    </xf>
    <xf numFmtId="0" fontId="23" fillId="6" borderId="0" xfId="0" applyFont="1" applyFill="1" applyBorder="1"/>
    <xf numFmtId="1" fontId="0" fillId="6" borderId="0" xfId="0" applyNumberFormat="1" applyFill="1" applyBorder="1"/>
    <xf numFmtId="0" fontId="1" fillId="6" borderId="0" xfId="0" applyFont="1" applyFill="1" applyBorder="1" applyAlignment="1">
      <alignment horizontal="right" vertical="center"/>
    </xf>
    <xf numFmtId="184" fontId="0" fillId="6" borderId="0" xfId="0" applyNumberFormat="1" applyFill="1" applyBorder="1"/>
    <xf numFmtId="184" fontId="1" fillId="6" borderId="0" xfId="0" applyNumberFormat="1" applyFont="1" applyFill="1" applyBorder="1" applyAlignment="1">
      <alignment horizontal="center" vertical="center" shrinkToFit="1"/>
    </xf>
    <xf numFmtId="9" fontId="0" fillId="6" borderId="0" xfId="1" applyFont="1" applyFill="1" applyBorder="1" applyAlignment="1">
      <alignment horizontal="center"/>
    </xf>
    <xf numFmtId="0" fontId="1" fillId="6" borderId="0" xfId="0" applyFont="1" applyFill="1" applyBorder="1" applyAlignment="1">
      <alignment horizontal="center"/>
    </xf>
    <xf numFmtId="179" fontId="1" fillId="6" borderId="0" xfId="0" applyNumberFormat="1" applyFont="1" applyFill="1" applyBorder="1" applyAlignment="1">
      <alignment horizontal="center" vertical="center" shrinkToFit="1"/>
    </xf>
    <xf numFmtId="2" fontId="1" fillId="6" borderId="0" xfId="0" applyNumberFormat="1" applyFont="1" applyFill="1" applyBorder="1" applyAlignment="1">
      <alignment horizontal="center" vertical="center" shrinkToFit="1"/>
    </xf>
    <xf numFmtId="165" fontId="1" fillId="6" borderId="0" xfId="2" applyFont="1" applyFill="1" applyBorder="1" applyAlignment="1">
      <alignment vertical="center" shrinkToFit="1"/>
    </xf>
    <xf numFmtId="178" fontId="3" fillId="6" borderId="0" xfId="0" applyNumberFormat="1" applyFont="1" applyFill="1" applyBorder="1" applyAlignment="1" applyProtection="1">
      <alignment horizontal="center"/>
      <protection locked="0"/>
    </xf>
    <xf numFmtId="0" fontId="3" fillId="6" borderId="0" xfId="0" applyFont="1" applyFill="1" applyBorder="1" applyAlignment="1" applyProtection="1">
      <alignment horizontal="center"/>
      <protection locked="0"/>
    </xf>
    <xf numFmtId="188" fontId="0" fillId="6" borderId="0" xfId="0" applyNumberFormat="1" applyFont="1" applyFill="1" applyBorder="1" applyAlignment="1">
      <alignment horizontal="center"/>
    </xf>
    <xf numFmtId="187" fontId="0" fillId="6" borderId="0" xfId="0" applyNumberFormat="1" applyFont="1" applyFill="1" applyBorder="1" applyAlignment="1">
      <alignment horizontal="center"/>
    </xf>
    <xf numFmtId="189" fontId="0" fillId="6" borderId="0" xfId="0" applyNumberFormat="1" applyFont="1" applyFill="1" applyBorder="1" applyAlignment="1">
      <alignment horizontal="center"/>
    </xf>
    <xf numFmtId="192" fontId="0" fillId="6" borderId="0" xfId="0" applyNumberFormat="1" applyFont="1" applyFill="1" applyBorder="1"/>
    <xf numFmtId="190" fontId="0" fillId="6" borderId="0" xfId="0" applyNumberFormat="1" applyFont="1" applyFill="1" applyBorder="1" applyAlignment="1">
      <alignment horizontal="center"/>
    </xf>
    <xf numFmtId="174" fontId="3" fillId="6" borderId="0" xfId="0" applyNumberFormat="1" applyFont="1" applyFill="1" applyBorder="1" applyAlignment="1" applyProtection="1">
      <alignment horizontal="center"/>
      <protection locked="0"/>
    </xf>
    <xf numFmtId="178" fontId="0" fillId="6" borderId="0" xfId="0" applyNumberFormat="1" applyFont="1" applyFill="1" applyBorder="1" applyAlignment="1">
      <alignment horizontal="center"/>
    </xf>
    <xf numFmtId="191" fontId="0" fillId="6" borderId="0" xfId="0" applyNumberFormat="1" applyFont="1" applyFill="1" applyBorder="1" applyAlignment="1">
      <alignment horizontal="center"/>
    </xf>
    <xf numFmtId="185" fontId="12" fillId="6" borderId="0" xfId="2" applyNumberFormat="1" applyFont="1" applyFill="1" applyBorder="1" applyAlignment="1" applyProtection="1">
      <alignment horizontal="center"/>
      <protection locked="0"/>
    </xf>
    <xf numFmtId="0" fontId="12" fillId="6" borderId="0" xfId="0" applyFont="1" applyFill="1" applyBorder="1" applyAlignment="1" applyProtection="1">
      <alignment horizontal="center" vertical="center"/>
      <protection locked="0"/>
    </xf>
    <xf numFmtId="194" fontId="1" fillId="6" borderId="0" xfId="0" applyNumberFormat="1" applyFont="1" applyFill="1" applyBorder="1" applyAlignment="1" applyProtection="1">
      <alignment horizontal="center" vertical="center" shrinkToFit="1"/>
      <protection locked="0"/>
    </xf>
    <xf numFmtId="0" fontId="22" fillId="6" borderId="0" xfId="7" applyFill="1" applyBorder="1" applyAlignment="1" applyProtection="1">
      <alignment horizontal="left"/>
      <protection locked="0"/>
    </xf>
    <xf numFmtId="1" fontId="1" fillId="6" borderId="0" xfId="0" applyNumberFormat="1" applyFont="1" applyFill="1" applyBorder="1" applyAlignment="1">
      <alignment horizontal="center" vertical="center"/>
    </xf>
    <xf numFmtId="0" fontId="1" fillId="6" borderId="0" xfId="0" applyNumberFormat="1" applyFont="1" applyFill="1" applyBorder="1" applyAlignment="1">
      <alignment horizontal="center" vertical="center"/>
    </xf>
    <xf numFmtId="0" fontId="1" fillId="6" borderId="0" xfId="0" applyFont="1" applyFill="1" applyBorder="1" applyAlignment="1" applyProtection="1">
      <alignment horizontal="center"/>
      <protection locked="0"/>
    </xf>
    <xf numFmtId="195" fontId="1" fillId="6" borderId="0" xfId="0" applyNumberFormat="1" applyFont="1" applyFill="1" applyBorder="1" applyAlignment="1">
      <alignment horizontal="center" vertical="center"/>
    </xf>
    <xf numFmtId="165" fontId="1" fillId="6" borderId="0" xfId="2" applyFont="1" applyFill="1" applyBorder="1" applyAlignment="1">
      <alignment horizontal="center" vertical="center"/>
    </xf>
    <xf numFmtId="0" fontId="20" fillId="6" borderId="0" xfId="5" applyFill="1" applyBorder="1" applyAlignment="1">
      <alignment vertical="center" wrapText="1"/>
    </xf>
    <xf numFmtId="0" fontId="21" fillId="6" borderId="0" xfId="6" applyFill="1" applyBorder="1" applyAlignment="1">
      <alignment vertical="center" wrapText="1"/>
    </xf>
    <xf numFmtId="0" fontId="12" fillId="6" borderId="0" xfId="0" applyFont="1" applyFill="1" applyBorder="1" applyAlignment="1">
      <alignment vertical="center"/>
    </xf>
    <xf numFmtId="173" fontId="12" fillId="6" borderId="0" xfId="0" applyNumberFormat="1" applyFont="1" applyFill="1" applyBorder="1" applyAlignment="1">
      <alignment vertical="center"/>
    </xf>
    <xf numFmtId="196" fontId="12" fillId="6" borderId="0" xfId="0" applyNumberFormat="1" applyFont="1" applyFill="1" applyBorder="1" applyAlignment="1">
      <alignment vertical="center"/>
    </xf>
    <xf numFmtId="172" fontId="12" fillId="6" borderId="0" xfId="0" applyNumberFormat="1" applyFont="1" applyFill="1" applyBorder="1" applyAlignment="1">
      <alignment vertical="center"/>
    </xf>
    <xf numFmtId="174" fontId="1" fillId="6" borderId="0" xfId="0" applyNumberFormat="1" applyFont="1" applyFill="1" applyBorder="1" applyAlignment="1">
      <alignment horizontal="center" vertical="center" shrinkToFit="1"/>
    </xf>
    <xf numFmtId="0" fontId="9" fillId="6" borderId="0" xfId="0" applyFont="1" applyFill="1" applyBorder="1" applyAlignment="1">
      <alignment horizontal="right"/>
    </xf>
    <xf numFmtId="1" fontId="12" fillId="6" borderId="0" xfId="0" applyNumberFormat="1" applyFont="1" applyFill="1" applyBorder="1" applyAlignment="1" applyProtection="1">
      <alignment horizontal="center" vertical="center"/>
      <protection locked="0"/>
    </xf>
    <xf numFmtId="181" fontId="12" fillId="6" borderId="0" xfId="0" applyNumberFormat="1" applyFont="1" applyFill="1" applyBorder="1" applyAlignment="1" applyProtection="1">
      <alignment horizontal="center" vertical="center"/>
      <protection locked="0"/>
    </xf>
    <xf numFmtId="0" fontId="0" fillId="6" borderId="0" xfId="0" applyFont="1" applyFill="1" applyBorder="1" applyAlignment="1">
      <alignment horizontal="center" vertical="center" wrapText="1"/>
    </xf>
    <xf numFmtId="197" fontId="0" fillId="6" borderId="0" xfId="0" applyNumberFormat="1" applyFont="1" applyFill="1" applyBorder="1" applyAlignment="1">
      <alignment horizontal="center" vertical="center" shrinkToFit="1"/>
    </xf>
    <xf numFmtId="0" fontId="25" fillId="6" borderId="0" xfId="0" applyFont="1" applyFill="1" applyBorder="1" applyAlignment="1">
      <alignment horizontal="center" vertical="center" wrapText="1"/>
    </xf>
    <xf numFmtId="198" fontId="1" fillId="6" borderId="0" xfId="0" applyNumberFormat="1" applyFont="1" applyFill="1" applyBorder="1" applyAlignment="1">
      <alignment horizontal="center" vertical="center"/>
    </xf>
    <xf numFmtId="0" fontId="9" fillId="6" borderId="0" xfId="0" applyFont="1" applyFill="1" applyBorder="1"/>
    <xf numFmtId="0" fontId="0" fillId="6" borderId="0" xfId="0" applyFont="1" applyFill="1" applyBorder="1" applyAlignment="1">
      <alignment horizontal="center"/>
    </xf>
    <xf numFmtId="0" fontId="50" fillId="6" borderId="0" xfId="0" applyFont="1" applyFill="1" applyBorder="1" applyAlignment="1">
      <alignment vertical="center"/>
    </xf>
    <xf numFmtId="1" fontId="16" fillId="6" borderId="0" xfId="0" applyNumberFormat="1" applyFont="1" applyFill="1" applyBorder="1" applyAlignment="1">
      <alignment horizontal="center" vertical="center"/>
    </xf>
    <xf numFmtId="9" fontId="16" fillId="6" borderId="0" xfId="0" applyNumberFormat="1" applyFont="1" applyFill="1" applyBorder="1" applyAlignment="1">
      <alignment horizontal="center" vertical="center"/>
    </xf>
    <xf numFmtId="199" fontId="16" fillId="6" borderId="0" xfId="0" applyNumberFormat="1" applyFont="1" applyFill="1" applyBorder="1" applyAlignment="1">
      <alignment horizontal="center" vertical="center"/>
    </xf>
    <xf numFmtId="2" fontId="16" fillId="6" borderId="0" xfId="0" applyNumberFormat="1" applyFont="1" applyFill="1" applyBorder="1" applyAlignment="1">
      <alignment horizontal="center" vertical="center"/>
    </xf>
    <xf numFmtId="0" fontId="46" fillId="6" borderId="0" xfId="0" applyFont="1" applyFill="1" applyBorder="1" applyAlignment="1">
      <alignment vertical="center"/>
    </xf>
    <xf numFmtId="0" fontId="47" fillId="6" borderId="0" xfId="0" applyFont="1" applyFill="1" applyBorder="1" applyAlignment="1">
      <alignment vertical="center"/>
    </xf>
    <xf numFmtId="0" fontId="51" fillId="6" borderId="0" xfId="0" applyFont="1" applyFill="1" applyBorder="1" applyAlignment="1">
      <alignment vertical="center"/>
    </xf>
    <xf numFmtId="0" fontId="51" fillId="6" borderId="0" xfId="0" applyFont="1" applyFill="1" applyBorder="1" applyAlignment="1">
      <alignment vertical="center" wrapText="1"/>
    </xf>
    <xf numFmtId="0" fontId="48" fillId="6" borderId="0" xfId="0" applyFont="1" applyFill="1" applyBorder="1" applyAlignment="1">
      <alignment vertical="center"/>
    </xf>
    <xf numFmtId="189" fontId="16" fillId="6" borderId="0" xfId="0" applyNumberFormat="1" applyFont="1" applyFill="1" applyBorder="1" applyAlignment="1">
      <alignment horizontal="center" vertical="center"/>
    </xf>
    <xf numFmtId="190" fontId="16" fillId="6" borderId="0" xfId="0" applyNumberFormat="1" applyFont="1" applyFill="1" applyBorder="1" applyAlignment="1">
      <alignment horizontal="center" vertical="center"/>
    </xf>
    <xf numFmtId="174" fontId="16" fillId="6" borderId="0" xfId="0" applyNumberFormat="1" applyFont="1" applyFill="1" applyBorder="1" applyAlignment="1">
      <alignment horizontal="center" vertical="center"/>
    </xf>
    <xf numFmtId="178" fontId="16" fillId="6" borderId="0" xfId="0" applyNumberFormat="1" applyFont="1" applyFill="1" applyBorder="1" applyAlignment="1">
      <alignment horizontal="center" vertical="center"/>
    </xf>
    <xf numFmtId="0" fontId="49" fillId="6" borderId="0" xfId="0" applyFont="1" applyFill="1" applyBorder="1" applyAlignment="1">
      <alignment vertical="center"/>
    </xf>
    <xf numFmtId="179" fontId="16" fillId="6" borderId="0" xfId="0" applyNumberFormat="1" applyFont="1" applyFill="1" applyBorder="1" applyAlignment="1">
      <alignment horizontal="center" vertical="center" shrinkToFit="1"/>
    </xf>
    <xf numFmtId="180" fontId="16" fillId="6" borderId="0" xfId="0" applyNumberFormat="1" applyFont="1" applyFill="1" applyBorder="1" applyAlignment="1">
      <alignment horizontal="center" vertical="center" shrinkToFit="1"/>
    </xf>
    <xf numFmtId="9" fontId="16" fillId="6" borderId="0" xfId="1" applyFont="1" applyFill="1" applyBorder="1" applyAlignment="1">
      <alignment horizontal="center" vertical="center"/>
    </xf>
    <xf numFmtId="200" fontId="16" fillId="6" borderId="0" xfId="0" applyNumberFormat="1" applyFont="1" applyFill="1" applyBorder="1" applyAlignment="1">
      <alignment horizontal="center" vertical="center"/>
    </xf>
    <xf numFmtId="201" fontId="16" fillId="6" borderId="0" xfId="0" applyNumberFormat="1" applyFont="1" applyFill="1" applyBorder="1" applyAlignment="1">
      <alignment horizontal="center" vertical="center"/>
    </xf>
    <xf numFmtId="202" fontId="16" fillId="6" borderId="0" xfId="0" applyNumberFormat="1" applyFont="1" applyFill="1" applyBorder="1" applyAlignment="1">
      <alignment horizontal="center" vertical="center"/>
    </xf>
    <xf numFmtId="176" fontId="13" fillId="6" borderId="0" xfId="0" applyNumberFormat="1" applyFont="1" applyFill="1" applyBorder="1" applyAlignment="1">
      <alignment horizontal="center" vertical="center" shrinkToFit="1"/>
    </xf>
    <xf numFmtId="0" fontId="13" fillId="6" borderId="0" xfId="0" applyFont="1" applyFill="1" applyBorder="1" applyAlignment="1">
      <alignment horizontal="center" vertical="center"/>
    </xf>
    <xf numFmtId="197" fontId="13" fillId="6" borderId="0" xfId="0" applyNumberFormat="1" applyFont="1" applyFill="1" applyBorder="1" applyAlignment="1">
      <alignment horizontal="center" vertical="center" shrinkToFit="1"/>
    </xf>
    <xf numFmtId="182" fontId="13" fillId="6" borderId="0" xfId="0" applyNumberFormat="1" applyFont="1" applyFill="1" applyBorder="1" applyAlignment="1">
      <alignment horizontal="center" vertical="center"/>
    </xf>
    <xf numFmtId="174" fontId="13" fillId="6" borderId="0" xfId="0" applyNumberFormat="1" applyFont="1" applyFill="1" applyBorder="1" applyAlignment="1">
      <alignment horizontal="center" vertical="center" shrinkToFit="1"/>
    </xf>
    <xf numFmtId="0" fontId="53" fillId="6" borderId="0" xfId="0" applyFont="1" applyFill="1" applyAlignment="1">
      <alignment horizontal="right" vertical="center"/>
    </xf>
    <xf numFmtId="0" fontId="55" fillId="6" borderId="0" xfId="0" applyFont="1" applyFill="1" applyAlignment="1">
      <alignment wrapText="1"/>
    </xf>
    <xf numFmtId="0" fontId="12" fillId="9" borderId="36" xfId="0" applyFont="1" applyFill="1" applyBorder="1" applyAlignment="1" applyProtection="1">
      <alignment horizontal="center" vertical="center" shrinkToFit="1"/>
      <protection locked="0"/>
    </xf>
    <xf numFmtId="171" fontId="14" fillId="10" borderId="37" xfId="0" applyNumberFormat="1" applyFont="1" applyFill="1" applyBorder="1" applyAlignment="1" applyProtection="1">
      <alignment horizontal="center" vertical="center"/>
      <protection locked="0"/>
    </xf>
    <xf numFmtId="0" fontId="12" fillId="6" borderId="0" xfId="0" applyFont="1" applyFill="1" applyBorder="1" applyAlignment="1">
      <alignment horizontal="right" vertical="center" wrapText="1"/>
    </xf>
    <xf numFmtId="172" fontId="14" fillId="6" borderId="37" xfId="0" applyNumberFormat="1" applyFont="1" applyFill="1" applyBorder="1" applyAlignment="1" applyProtection="1">
      <alignment horizontal="center" vertical="center"/>
    </xf>
    <xf numFmtId="0" fontId="1" fillId="4" borderId="17" xfId="0" applyFont="1" applyFill="1" applyBorder="1" applyAlignment="1">
      <alignment horizontal="center" vertical="center"/>
    </xf>
    <xf numFmtId="0" fontId="1" fillId="4" borderId="18" xfId="0" applyFont="1" applyFill="1" applyBorder="1" applyAlignment="1">
      <alignment horizontal="center" vertical="center"/>
    </xf>
    <xf numFmtId="0" fontId="1" fillId="4" borderId="19"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13" xfId="0" applyFont="1" applyFill="1" applyBorder="1" applyAlignment="1">
      <alignment horizontal="center" vertical="center"/>
    </xf>
    <xf numFmtId="0" fontId="1" fillId="4" borderId="21" xfId="0" applyFont="1" applyFill="1" applyBorder="1" applyAlignment="1">
      <alignment horizontal="center" vertical="center"/>
    </xf>
    <xf numFmtId="0" fontId="1" fillId="4" borderId="0" xfId="0" applyFont="1" applyFill="1"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1" fillId="4" borderId="17" xfId="0" applyFont="1" applyFill="1" applyBorder="1" applyAlignment="1">
      <alignment horizontal="center"/>
    </xf>
    <xf numFmtId="0" fontId="1" fillId="4" borderId="18" xfId="0" applyFont="1" applyFill="1" applyBorder="1" applyAlignment="1">
      <alignment horizontal="center"/>
    </xf>
    <xf numFmtId="0" fontId="1" fillId="4" borderId="19" xfId="0" applyFont="1" applyFill="1"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9" xfId="0" applyBorder="1" applyAlignment="1">
      <alignment horizontal="center"/>
    </xf>
    <xf numFmtId="0" fontId="0" fillId="0" borderId="16" xfId="0" applyBorder="1" applyAlignment="1">
      <alignment horizontal="center" wrapText="1"/>
    </xf>
    <xf numFmtId="0" fontId="0" fillId="0" borderId="3" xfId="0" applyBorder="1" applyAlignment="1">
      <alignment horizontal="center" wrapText="1"/>
    </xf>
    <xf numFmtId="0" fontId="0" fillId="0" borderId="7" xfId="0" applyBorder="1" applyAlignment="1">
      <alignment horizontal="center" wrapText="1"/>
    </xf>
    <xf numFmtId="0" fontId="0" fillId="0" borderId="0" xfId="0" applyBorder="1" applyAlignment="1">
      <alignment horizontal="left"/>
    </xf>
    <xf numFmtId="0" fontId="0" fillId="0" borderId="15" xfId="0" applyBorder="1" applyAlignment="1">
      <alignment horizontal="center"/>
    </xf>
    <xf numFmtId="0" fontId="0" fillId="0" borderId="0" xfId="0" applyAlignment="1">
      <alignment horizontal="center"/>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18"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wrapText="1"/>
    </xf>
    <xf numFmtId="0" fontId="0" fillId="0" borderId="9" xfId="0" applyBorder="1" applyAlignment="1">
      <alignment horizontal="center" wrapText="1"/>
    </xf>
    <xf numFmtId="0" fontId="0" fillId="0" borderId="0" xfId="0" applyBorder="1" applyAlignment="1">
      <alignment horizontal="center" wrapText="1"/>
    </xf>
    <xf numFmtId="0" fontId="0" fillId="0" borderId="10" xfId="0" applyBorder="1" applyAlignment="1">
      <alignment horizont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29" xfId="0" applyBorder="1" applyAlignment="1">
      <alignment horizontal="center"/>
    </xf>
    <xf numFmtId="0" fontId="0" fillId="0" borderId="30" xfId="0" applyBorder="1" applyAlignment="1">
      <alignment horizontal="center"/>
    </xf>
    <xf numFmtId="0" fontId="0" fillId="0" borderId="27" xfId="0" applyBorder="1" applyAlignment="1">
      <alignment horizontal="center"/>
    </xf>
    <xf numFmtId="0" fontId="0" fillId="0" borderId="46" xfId="0" applyBorder="1" applyAlignment="1">
      <alignment horizontal="center"/>
    </xf>
    <xf numFmtId="0" fontId="0" fillId="0" borderId="9" xfId="0" applyBorder="1" applyAlignment="1">
      <alignment horizontal="center" vertical="center" wrapText="1"/>
    </xf>
    <xf numFmtId="0" fontId="0" fillId="0" borderId="4" xfId="0" applyBorder="1" applyAlignment="1">
      <alignment horizontal="center" vertical="center" wrapText="1"/>
    </xf>
    <xf numFmtId="0" fontId="1" fillId="4" borderId="8" xfId="0" applyFont="1" applyFill="1" applyBorder="1" applyAlignment="1">
      <alignment horizontal="center"/>
    </xf>
    <xf numFmtId="0" fontId="1" fillId="4" borderId="14" xfId="0" applyFont="1" applyFill="1" applyBorder="1" applyAlignment="1">
      <alignment horizontal="center"/>
    </xf>
    <xf numFmtId="0" fontId="1" fillId="4" borderId="9" xfId="0" applyFont="1" applyFill="1" applyBorder="1" applyAlignment="1">
      <alignment horizontal="center"/>
    </xf>
    <xf numFmtId="0" fontId="1" fillId="4" borderId="15" xfId="0" applyFont="1" applyFill="1" applyBorder="1" applyAlignment="1">
      <alignment horizontal="center"/>
    </xf>
    <xf numFmtId="0" fontId="1" fillId="4" borderId="10" xfId="0" applyFont="1" applyFill="1" applyBorder="1" applyAlignment="1">
      <alignment horizontal="center"/>
    </xf>
    <xf numFmtId="0" fontId="1" fillId="4" borderId="16" xfId="0" applyFont="1" applyFill="1" applyBorder="1" applyAlignment="1">
      <alignment horizontal="center" wrapText="1"/>
    </xf>
    <xf numFmtId="0" fontId="1" fillId="4" borderId="3" xfId="0" applyFont="1" applyFill="1" applyBorder="1" applyAlignment="1">
      <alignment horizontal="center" wrapText="1"/>
    </xf>
    <xf numFmtId="0" fontId="54" fillId="6" borderId="0" xfId="7" applyFont="1" applyFill="1" applyAlignment="1">
      <alignment horizontal="left"/>
    </xf>
    <xf numFmtId="0" fontId="30" fillId="11" borderId="5" xfId="0" applyFont="1" applyFill="1" applyBorder="1" applyAlignment="1">
      <alignment horizontal="center" vertical="center"/>
    </xf>
    <xf numFmtId="0" fontId="30" fillId="11" borderId="6" xfId="0" applyFont="1" applyFill="1" applyBorder="1" applyAlignment="1">
      <alignment horizontal="center" vertical="center"/>
    </xf>
    <xf numFmtId="0" fontId="30" fillId="11" borderId="2" xfId="0" applyFont="1" applyFill="1" applyBorder="1" applyAlignment="1">
      <alignment horizontal="center" vertical="center"/>
    </xf>
    <xf numFmtId="0" fontId="12" fillId="9" borderId="36" xfId="0" applyFont="1" applyFill="1" applyBorder="1" applyAlignment="1" applyProtection="1">
      <alignment horizontal="center" vertical="center" shrinkToFit="1"/>
      <protection locked="0"/>
    </xf>
    <xf numFmtId="172" fontId="28" fillId="6" borderId="36" xfId="0" applyNumberFormat="1" applyFont="1" applyFill="1" applyBorder="1" applyAlignment="1">
      <alignment horizontal="center" vertical="center" shrinkToFit="1"/>
    </xf>
    <xf numFmtId="172" fontId="13" fillId="6" borderId="36" xfId="0" applyNumberFormat="1" applyFont="1" applyFill="1" applyBorder="1" applyAlignment="1">
      <alignment horizontal="center" vertical="center" shrinkToFit="1"/>
    </xf>
    <xf numFmtId="176" fontId="6" fillId="9" borderId="36" xfId="0" applyNumberFormat="1" applyFont="1" applyFill="1" applyBorder="1" applyAlignment="1" applyProtection="1">
      <alignment horizontal="center" vertical="center" shrinkToFit="1"/>
      <protection locked="0"/>
    </xf>
    <xf numFmtId="0" fontId="12" fillId="9" borderId="39" xfId="0" applyFont="1" applyFill="1" applyBorder="1" applyAlignment="1" applyProtection="1">
      <alignment horizontal="center"/>
      <protection locked="0"/>
    </xf>
    <xf numFmtId="0" fontId="55" fillId="6" borderId="0" xfId="0" applyFont="1" applyFill="1" applyAlignment="1">
      <alignment horizontal="left" wrapText="1"/>
    </xf>
    <xf numFmtId="0" fontId="56" fillId="6" borderId="0" xfId="7" applyFont="1" applyFill="1" applyAlignment="1">
      <alignment horizontal="left" wrapText="1"/>
    </xf>
    <xf numFmtId="0" fontId="44" fillId="0" borderId="12" xfId="0" applyFont="1" applyBorder="1" applyAlignment="1">
      <alignment horizontal="left" wrapText="1"/>
    </xf>
    <xf numFmtId="0" fontId="31" fillId="11" borderId="47" xfId="0" applyFont="1" applyFill="1" applyBorder="1" applyAlignment="1">
      <alignment horizontal="center" vertical="center" wrapText="1"/>
    </xf>
    <xf numFmtId="0" fontId="31" fillId="11" borderId="48" xfId="0" applyFont="1" applyFill="1" applyBorder="1" applyAlignment="1">
      <alignment horizontal="center" vertical="center" wrapText="1"/>
    </xf>
    <xf numFmtId="0" fontId="31" fillId="11" borderId="49" xfId="0" applyFont="1" applyFill="1" applyBorder="1" applyAlignment="1">
      <alignment horizontal="center" vertical="center" wrapText="1"/>
    </xf>
    <xf numFmtId="172" fontId="1" fillId="10" borderId="43" xfId="0" applyNumberFormat="1" applyFont="1" applyFill="1" applyBorder="1" applyAlignment="1" applyProtection="1">
      <alignment horizontal="center" vertical="center" shrinkToFit="1"/>
      <protection locked="0"/>
    </xf>
    <xf numFmtId="172" fontId="1" fillId="10" borderId="44" xfId="0" applyNumberFormat="1" applyFont="1" applyFill="1" applyBorder="1" applyAlignment="1" applyProtection="1">
      <alignment horizontal="center" vertical="center" shrinkToFit="1"/>
      <protection locked="0"/>
    </xf>
    <xf numFmtId="172" fontId="1" fillId="10" borderId="45" xfId="0" applyNumberFormat="1" applyFont="1" applyFill="1" applyBorder="1" applyAlignment="1" applyProtection="1">
      <alignment horizontal="center" vertical="center" shrinkToFit="1"/>
      <protection locked="0"/>
    </xf>
    <xf numFmtId="0" fontId="12" fillId="9" borderId="0" xfId="0" applyFont="1" applyFill="1" applyBorder="1" applyAlignment="1" applyProtection="1">
      <alignment horizontal="center"/>
      <protection locked="0"/>
    </xf>
    <xf numFmtId="172" fontId="1" fillId="10" borderId="42" xfId="0" applyNumberFormat="1" applyFont="1" applyFill="1" applyBorder="1" applyAlignment="1" applyProtection="1">
      <alignment horizontal="center" vertical="center" shrinkToFit="1"/>
      <protection locked="0"/>
    </xf>
    <xf numFmtId="172" fontId="1" fillId="10" borderId="41" xfId="0" applyNumberFormat="1" applyFont="1" applyFill="1" applyBorder="1" applyAlignment="1" applyProtection="1">
      <alignment horizontal="center" vertical="center" shrinkToFit="1"/>
      <protection locked="0"/>
    </xf>
    <xf numFmtId="172" fontId="1" fillId="10" borderId="40" xfId="0" applyNumberFormat="1" applyFont="1" applyFill="1" applyBorder="1" applyAlignment="1" applyProtection="1">
      <alignment horizontal="center" vertical="center" shrinkToFit="1"/>
      <protection locked="0"/>
    </xf>
    <xf numFmtId="1" fontId="12" fillId="6" borderId="0" xfId="0" applyNumberFormat="1" applyFont="1" applyFill="1" applyBorder="1" applyAlignment="1" applyProtection="1">
      <alignment horizontal="center"/>
      <protection locked="0"/>
    </xf>
    <xf numFmtId="186" fontId="12" fillId="6" borderId="0" xfId="0" applyNumberFormat="1" applyFont="1" applyFill="1" applyBorder="1" applyAlignment="1" applyProtection="1">
      <alignment horizontal="center"/>
      <protection locked="0"/>
    </xf>
    <xf numFmtId="207" fontId="12" fillId="6" borderId="0" xfId="2" applyNumberFormat="1" applyFont="1" applyFill="1" applyBorder="1" applyAlignment="1" applyProtection="1">
      <alignment horizontal="center" vertical="center"/>
      <protection locked="0"/>
    </xf>
    <xf numFmtId="208" fontId="1" fillId="6" borderId="0" xfId="0" applyNumberFormat="1" applyFont="1" applyFill="1" applyBorder="1" applyAlignment="1" applyProtection="1">
      <alignment horizontal="center"/>
    </xf>
    <xf numFmtId="9" fontId="12" fillId="6" borderId="0" xfId="1" applyFont="1" applyFill="1" applyBorder="1" applyAlignment="1" applyProtection="1">
      <alignment horizontal="center"/>
      <protection locked="0"/>
    </xf>
    <xf numFmtId="209" fontId="12" fillId="6" borderId="0" xfId="2" applyNumberFormat="1" applyFont="1" applyFill="1" applyBorder="1" applyAlignment="1" applyProtection="1">
      <alignment horizontal="center" vertical="center"/>
      <protection locked="0"/>
    </xf>
    <xf numFmtId="205" fontId="12" fillId="6" borderId="0" xfId="2" applyNumberFormat="1" applyFont="1" applyFill="1" applyBorder="1" applyAlignment="1" applyProtection="1">
      <alignment horizontal="center" vertical="center"/>
      <protection locked="0"/>
    </xf>
    <xf numFmtId="210" fontId="1" fillId="6" borderId="0" xfId="0" applyNumberFormat="1" applyFont="1" applyFill="1" applyBorder="1" applyAlignment="1" applyProtection="1">
      <alignment horizontal="center"/>
    </xf>
    <xf numFmtId="206" fontId="1" fillId="6" borderId="0" xfId="0" applyNumberFormat="1" applyFont="1" applyFill="1" applyBorder="1" applyAlignment="1" applyProtection="1">
      <alignment horizontal="center"/>
    </xf>
    <xf numFmtId="0" fontId="44" fillId="6" borderId="50" xfId="0" applyFont="1" applyFill="1" applyBorder="1" applyAlignment="1">
      <alignment horizontal="left" wrapText="1"/>
    </xf>
    <xf numFmtId="9" fontId="12" fillId="6" borderId="0" xfId="1" applyFont="1" applyFill="1" applyBorder="1" applyAlignment="1" applyProtection="1">
      <alignment horizontal="center" vertical="center" wrapText="1"/>
      <protection locked="0"/>
    </xf>
    <xf numFmtId="0" fontId="30" fillId="11" borderId="47" xfId="0" applyFont="1" applyFill="1" applyBorder="1" applyAlignment="1">
      <alignment horizontal="center" vertical="center"/>
    </xf>
    <xf numFmtId="0" fontId="30" fillId="11" borderId="48" xfId="0" applyFont="1" applyFill="1" applyBorder="1" applyAlignment="1">
      <alignment horizontal="center" vertical="center"/>
    </xf>
    <xf numFmtId="0" fontId="30" fillId="11" borderId="49" xfId="0" applyFont="1" applyFill="1" applyBorder="1" applyAlignment="1">
      <alignment horizontal="center" vertical="center"/>
    </xf>
    <xf numFmtId="0" fontId="1" fillId="6" borderId="0" xfId="0" applyFont="1" applyFill="1" applyBorder="1" applyAlignment="1">
      <alignment horizontal="center" vertical="center"/>
    </xf>
    <xf numFmtId="0" fontId="44" fillId="0" borderId="50" xfId="0" applyFont="1" applyBorder="1" applyAlignment="1">
      <alignment horizontal="left" vertical="center" wrapText="1"/>
    </xf>
    <xf numFmtId="0" fontId="36" fillId="0" borderId="12" xfId="0" applyFont="1" applyBorder="1" applyAlignment="1">
      <alignment horizontal="left" wrapText="1"/>
    </xf>
    <xf numFmtId="0" fontId="30" fillId="11" borderId="8" xfId="0" applyFont="1" applyFill="1" applyBorder="1" applyAlignment="1">
      <alignment horizontal="center" vertical="center"/>
    </xf>
    <xf numFmtId="0" fontId="30" fillId="11" borderId="14" xfId="0" applyFont="1" applyFill="1" applyBorder="1" applyAlignment="1">
      <alignment horizontal="center" vertical="center"/>
    </xf>
    <xf numFmtId="0" fontId="30" fillId="11" borderId="9" xfId="0" applyFont="1" applyFill="1" applyBorder="1" applyAlignment="1">
      <alignment horizontal="center" vertical="center"/>
    </xf>
    <xf numFmtId="0" fontId="0" fillId="6" borderId="0" xfId="0" applyFill="1" applyBorder="1" applyAlignment="1">
      <alignment horizontal="center"/>
    </xf>
    <xf numFmtId="0" fontId="55" fillId="6" borderId="0" xfId="0" applyFont="1" applyFill="1" applyAlignment="1">
      <alignment horizontal="left" vertical="center" wrapText="1"/>
    </xf>
    <xf numFmtId="0" fontId="56" fillId="6" borderId="0" xfId="7" applyFont="1" applyFill="1" applyAlignment="1">
      <alignment horizontal="left" vertical="center" wrapText="1"/>
    </xf>
  </cellXfs>
  <cellStyles count="8">
    <cellStyle name="Bad" xfId="6" builtinId="27"/>
    <cellStyle name="Comma" xfId="4" builtinId="3"/>
    <cellStyle name="Currency" xfId="2" builtinId="4"/>
    <cellStyle name="Good" xfId="5" builtinId="26"/>
    <cellStyle name="Hyperlink" xfId="7" builtinId="8"/>
    <cellStyle name="Normal" xfId="0" builtinId="0"/>
    <cellStyle name="Normal 2" xfId="3"/>
    <cellStyle name="Percent" xfId="1" builtinId="5"/>
  </cellStyles>
  <dxfs count="14">
    <dxf>
      <font>
        <color rgb="FFFF0000"/>
      </font>
    </dxf>
    <dxf>
      <font>
        <color rgb="FFFF0000"/>
      </font>
    </dxf>
    <dxf>
      <font>
        <color rgb="FF00B050"/>
      </font>
    </dxf>
    <dxf>
      <font>
        <b/>
        <i val="0"/>
        <color rgb="FF00B050"/>
      </font>
      <fill>
        <patternFill>
          <bgColor theme="9" tint="0.59996337778862885"/>
        </patternFill>
      </fill>
    </dxf>
    <dxf>
      <font>
        <b/>
        <i val="0"/>
        <color rgb="FFFF0000"/>
      </font>
      <fill>
        <patternFill>
          <bgColor theme="5" tint="0.59996337778862885"/>
        </patternFill>
      </fill>
    </dxf>
    <dxf>
      <fill>
        <patternFill>
          <bgColor rgb="FF92D050"/>
        </patternFill>
      </fill>
    </dxf>
    <dxf>
      <fill>
        <patternFill>
          <bgColor rgb="FFFF7C8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EA32C"/>
      <color rgb="FFDBDF89"/>
      <color rgb="FF47D5C4"/>
      <color rgb="FFDBF7F4"/>
      <color rgb="FF2BBFAD"/>
      <color rgb="FFCAD9BF"/>
      <color rgb="FF9999FF"/>
      <color rgb="FF894F2F"/>
      <color rgb="FFDBAE95"/>
      <color rgb="FFC885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pieChart>
        <c:varyColors val="1"/>
        <c:ser>
          <c:idx val="0"/>
          <c:order val="0"/>
          <c:tx>
            <c:strRef>
              <c:f>'2.Energy Consumption'!$I$83</c:f>
              <c:strCache>
                <c:ptCount val="1"/>
                <c:pt idx="0">
                  <c:v>HOURLY HEAT LOSS</c:v>
                </c:pt>
              </c:strCache>
            </c:strRef>
          </c:tx>
          <c:explosion val="25"/>
          <c:dLbls>
            <c:showLegendKey val="0"/>
            <c:showVal val="0"/>
            <c:showCatName val="1"/>
            <c:showSerName val="0"/>
            <c:showPercent val="1"/>
            <c:showBubbleSize val="0"/>
            <c:showLeaderLines val="1"/>
          </c:dLbls>
          <c:cat>
            <c:strRef>
              <c:f>'2.Energy Consumption'!$H$84:$H$88</c:f>
              <c:strCache>
                <c:ptCount val="5"/>
                <c:pt idx="0">
                  <c:v>ROOFS</c:v>
                </c:pt>
                <c:pt idx="1">
                  <c:v>WALLS</c:v>
                </c:pt>
                <c:pt idx="2">
                  <c:v>GLAZING</c:v>
                </c:pt>
                <c:pt idx="3">
                  <c:v>FOOTING</c:v>
                </c:pt>
                <c:pt idx="4">
                  <c:v>INFILTRATION</c:v>
                </c:pt>
              </c:strCache>
            </c:strRef>
          </c:cat>
          <c:val>
            <c:numRef>
              <c:f>'2.Energy Consumption'!$I$84:$I$88</c:f>
              <c:numCache>
                <c:formatCode>0\ "BTU/H"</c:formatCode>
                <c:ptCount val="5"/>
                <c:pt idx="0">
                  <c:v>3240</c:v>
                </c:pt>
                <c:pt idx="1">
                  <c:v>960</c:v>
                </c:pt>
                <c:pt idx="2">
                  <c:v>14400</c:v>
                </c:pt>
                <c:pt idx="3">
                  <c:v>2203.1999999999998</c:v>
                </c:pt>
                <c:pt idx="4">
                  <c:v>1296</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http://www.degreedays.net" TargetMode="External"/><Relationship Id="rId2" Type="http://schemas.openxmlformats.org/officeDocument/2006/relationships/image" Target="../media/image9.png"/><Relationship Id="rId1" Type="http://schemas.openxmlformats.org/officeDocument/2006/relationships/image" Target="../media/image8.jpeg"/><Relationship Id="rId6" Type="http://schemas.openxmlformats.org/officeDocument/2006/relationships/image" Target="../media/image6.png"/><Relationship Id="rId5" Type="http://schemas.openxmlformats.org/officeDocument/2006/relationships/hyperlink" Target="https://vergepermaculture.ca/" TargetMode="External"/><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vergepermaculture.ca/" TargetMode="External"/><Relationship Id="rId1" Type="http://schemas.openxmlformats.org/officeDocument/2006/relationships/chart" Target="../charts/chart1.xml"/><Relationship Id="rId4" Type="http://schemas.openxmlformats.org/officeDocument/2006/relationships/hyperlink" Target="http://www.vergepermaculture.ca/greenhousetool"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png"/><Relationship Id="rId1" Type="http://schemas.openxmlformats.org/officeDocument/2006/relationships/hyperlink" Target="https://vergepermaculture.ca/"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vergepermaculture.ca/" TargetMode="External"/><Relationship Id="rId1" Type="http://schemas.openxmlformats.org/officeDocument/2006/relationships/image" Target="../media/image12.emf"/><Relationship Id="rId4" Type="http://schemas.openxmlformats.org/officeDocument/2006/relationships/hyperlink" Target="http://www.vergepermaculture.ca/greenhousetool"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eg"/><Relationship Id="rId7" Type="http://schemas.openxmlformats.org/officeDocument/2006/relationships/hyperlink" Target="https://vergepermaculture.ca/" TargetMode="External"/><Relationship Id="rId2" Type="http://schemas.openxmlformats.org/officeDocument/2006/relationships/image" Target="../media/image1.jpeg"/><Relationship Id="rId1" Type="http://schemas.openxmlformats.org/officeDocument/2006/relationships/image" Target="../media/image13.emf"/><Relationship Id="rId6" Type="http://schemas.openxmlformats.org/officeDocument/2006/relationships/image" Target="../media/image5.jpeg"/><Relationship Id="rId5" Type="http://schemas.openxmlformats.org/officeDocument/2006/relationships/image" Target="../media/image3.jpeg"/><Relationship Id="rId4" Type="http://schemas.openxmlformats.org/officeDocument/2006/relationships/image" Target="../media/image4.jpeg"/><Relationship Id="rId9" Type="http://schemas.openxmlformats.org/officeDocument/2006/relationships/hyperlink" Target="http://www.vergepermaculture.ca/greenhousetool"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vergepermaculture.ca/" TargetMode="External"/><Relationship Id="rId1" Type="http://schemas.openxmlformats.org/officeDocument/2006/relationships/image" Target="../media/image14.emf"/></Relationships>
</file>

<file path=xl/drawings/_rels/drawing9.x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30</xdr:col>
      <xdr:colOff>174104</xdr:colOff>
      <xdr:row>9</xdr:row>
      <xdr:rowOff>428625</xdr:rowOff>
    </xdr:from>
    <xdr:to>
      <xdr:col>31</xdr:col>
      <xdr:colOff>571499</xdr:colOff>
      <xdr:row>9</xdr:row>
      <xdr:rowOff>1238249</xdr:rowOff>
    </xdr:to>
    <xdr:pic>
      <xdr:nvPicPr>
        <xdr:cNvPr id="3" name="Picture 2" descr="Image result for Compact Fluoresc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53104" y="6419850"/>
          <a:ext cx="1006995"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184955</xdr:colOff>
      <xdr:row>8</xdr:row>
      <xdr:rowOff>133350</xdr:rowOff>
    </xdr:from>
    <xdr:to>
      <xdr:col>34</xdr:col>
      <xdr:colOff>76200</xdr:colOff>
      <xdr:row>8</xdr:row>
      <xdr:rowOff>1352550</xdr:rowOff>
    </xdr:to>
    <xdr:pic>
      <xdr:nvPicPr>
        <xdr:cNvPr id="4" name="Picture 3" descr="Image result for t5 Fluorescent grow ligh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3955" y="4591050"/>
          <a:ext cx="232964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209550</xdr:colOff>
      <xdr:row>7</xdr:row>
      <xdr:rowOff>209550</xdr:rowOff>
    </xdr:from>
    <xdr:to>
      <xdr:col>32</xdr:col>
      <xdr:colOff>361950</xdr:colOff>
      <xdr:row>7</xdr:row>
      <xdr:rowOff>1581150</xdr:rowOff>
    </xdr:to>
    <xdr:pic>
      <xdr:nvPicPr>
        <xdr:cNvPr id="5" name="Picture 4" descr="Image result for hid metal halid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88550" y="2886075"/>
          <a:ext cx="137160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57149</xdr:colOff>
      <xdr:row>4</xdr:row>
      <xdr:rowOff>114300</xdr:rowOff>
    </xdr:from>
    <xdr:to>
      <xdr:col>31</xdr:col>
      <xdr:colOff>295274</xdr:colOff>
      <xdr:row>5</xdr:row>
      <xdr:rowOff>771525</xdr:rowOff>
    </xdr:to>
    <xdr:pic>
      <xdr:nvPicPr>
        <xdr:cNvPr id="6" name="Picture 5" descr="Image result for hid high pressure sodium lamp"/>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90074" y="1076325"/>
          <a:ext cx="8477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171450</xdr:colOff>
      <xdr:row>6</xdr:row>
      <xdr:rowOff>57150</xdr:rowOff>
    </xdr:from>
    <xdr:to>
      <xdr:col>32</xdr:col>
      <xdr:colOff>28574</xdr:colOff>
      <xdr:row>6</xdr:row>
      <xdr:rowOff>721567</xdr:rowOff>
    </xdr:to>
    <xdr:pic>
      <xdr:nvPicPr>
        <xdr:cNvPr id="7" name="Picture 6" descr="Image result for LED grow light"/>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04375" y="2162175"/>
          <a:ext cx="1076324" cy="66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144780</xdr:colOff>
      <xdr:row>1</xdr:row>
      <xdr:rowOff>7620</xdr:rowOff>
    </xdr:from>
    <xdr:to>
      <xdr:col>5</xdr:col>
      <xdr:colOff>518160</xdr:colOff>
      <xdr:row>4</xdr:row>
      <xdr:rowOff>114300</xdr:rowOff>
    </xdr:to>
    <xdr:pic>
      <xdr:nvPicPr>
        <xdr:cNvPr id="2" name="Picture 1"/>
        <xdr:cNvPicPr>
          <a:picLocks noChangeAspect="1"/>
        </xdr:cNvPicPr>
      </xdr:nvPicPr>
      <xdr:blipFill rotWithShape="1">
        <a:blip xmlns:r="http://schemas.openxmlformats.org/officeDocument/2006/relationships" r:embed="rId1"/>
        <a:srcRect t="-1" r="9191" b="6198"/>
        <a:stretch/>
      </xdr:blipFill>
      <xdr:spPr>
        <a:xfrm>
          <a:off x="754380" y="190500"/>
          <a:ext cx="1882140" cy="1310640"/>
        </a:xfrm>
        <a:prstGeom prst="rect">
          <a:avLst/>
        </a:prstGeom>
      </xdr:spPr>
    </xdr:pic>
    <xdr:clientData/>
  </xdr:twoCellAnchor>
  <xdr:twoCellAnchor>
    <xdr:from>
      <xdr:col>8</xdr:col>
      <xdr:colOff>533400</xdr:colOff>
      <xdr:row>3</xdr:row>
      <xdr:rowOff>114300</xdr:rowOff>
    </xdr:from>
    <xdr:to>
      <xdr:col>22</xdr:col>
      <xdr:colOff>0</xdr:colOff>
      <xdr:row>4</xdr:row>
      <xdr:rowOff>236220</xdr:rowOff>
    </xdr:to>
    <xdr:grpSp>
      <xdr:nvGrpSpPr>
        <xdr:cNvPr id="22" name="Group 21"/>
        <xdr:cNvGrpSpPr/>
      </xdr:nvGrpSpPr>
      <xdr:grpSpPr>
        <a:xfrm>
          <a:off x="4480560" y="1211580"/>
          <a:ext cx="8282940" cy="411480"/>
          <a:chOff x="4480560" y="784860"/>
          <a:chExt cx="8282940" cy="464820"/>
        </a:xfrm>
      </xdr:grpSpPr>
      <xdr:sp macro="[0]!menu0" textlink="">
        <xdr:nvSpPr>
          <xdr:cNvPr id="4" name="menu"/>
          <xdr:cNvSpPr/>
        </xdr:nvSpPr>
        <xdr:spPr>
          <a:xfrm>
            <a:off x="4480560"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DBDF89"/>
                </a:solidFill>
              </a:rPr>
              <a:t>Menu</a:t>
            </a:r>
          </a:p>
        </xdr:txBody>
      </xdr:sp>
      <xdr:sp macro="[0]!menu1" textlink="">
        <xdr:nvSpPr>
          <xdr:cNvPr id="5"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6"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7"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8" name="menu"/>
          <xdr:cNvSpPr/>
        </xdr:nvSpPr>
        <xdr:spPr>
          <a:xfrm>
            <a:off x="867453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4. Thermal Mass Calculator</a:t>
            </a:r>
          </a:p>
        </xdr:txBody>
      </xdr:sp>
      <xdr:sp macro="[0]!menu5" textlink="">
        <xdr:nvSpPr>
          <xdr:cNvPr id="13"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14"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15"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twoCellAnchor>
    <xdr:from>
      <xdr:col>20</xdr:col>
      <xdr:colOff>548640</xdr:colOff>
      <xdr:row>24</xdr:row>
      <xdr:rowOff>160020</xdr:rowOff>
    </xdr:from>
    <xdr:to>
      <xdr:col>22</xdr:col>
      <xdr:colOff>0</xdr:colOff>
      <xdr:row>27</xdr:row>
      <xdr:rowOff>45720</xdr:rowOff>
    </xdr:to>
    <xdr:sp macro="[0]!admin" textlink="">
      <xdr:nvSpPr>
        <xdr:cNvPr id="26" name="Rounded Rectangle 25"/>
        <xdr:cNvSpPr/>
      </xdr:nvSpPr>
      <xdr:spPr>
        <a:xfrm>
          <a:off x="11811000" y="5173980"/>
          <a:ext cx="952500" cy="434340"/>
        </a:xfrm>
        <a:prstGeom prst="roundRect">
          <a:avLst/>
        </a:prstGeom>
        <a:solidFill>
          <a:schemeClr val="accent2">
            <a:lumMod val="60000"/>
            <a:lumOff val="40000"/>
          </a:schemeClr>
        </a:solidFill>
        <a:ln w="12700">
          <a:solidFill>
            <a:srgbClr val="894F2F"/>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US" sz="900" b="1">
              <a:solidFill>
                <a:schemeClr val="accent2">
                  <a:lumMod val="50000"/>
                </a:schemeClr>
              </a:solidFill>
            </a:rPr>
            <a:t>ADMIN ACCESS</a:t>
          </a:r>
        </a:p>
      </xdr:txBody>
    </xdr:sp>
    <xdr:clientData/>
  </xdr:twoCellAnchor>
  <xdr:twoCellAnchor>
    <xdr:from>
      <xdr:col>1</xdr:col>
      <xdr:colOff>0</xdr:colOff>
      <xdr:row>6</xdr:row>
      <xdr:rowOff>0</xdr:rowOff>
    </xdr:from>
    <xdr:to>
      <xdr:col>22</xdr:col>
      <xdr:colOff>0</xdr:colOff>
      <xdr:row>23</xdr:row>
      <xdr:rowOff>38100</xdr:rowOff>
    </xdr:to>
    <xdr:sp macro="" textlink="">
      <xdr:nvSpPr>
        <xdr:cNvPr id="16" name="Rounded Rectangle 15"/>
        <xdr:cNvSpPr/>
      </xdr:nvSpPr>
      <xdr:spPr>
        <a:xfrm>
          <a:off x="609600" y="1813560"/>
          <a:ext cx="12153900" cy="3482340"/>
        </a:xfrm>
        <a:prstGeom prst="roundRect">
          <a:avLst/>
        </a:prstGeom>
        <a:solidFill>
          <a:sysClr val="window" lastClr="FFFFFF"/>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en-US" sz="1200" b="0" i="0" u="none" strike="noStrike">
              <a:solidFill>
                <a:srgbClr val="894F2F"/>
              </a:solidFill>
              <a:effectLst/>
              <a:latin typeface="+mn-lt"/>
              <a:ea typeface="+mn-ea"/>
              <a:cs typeface="+mn-cs"/>
            </a:rPr>
            <a:t>The following tool has been built to quickly assess the feasibility of a passive solar greenhouse within any cold climate regime. The tool allows users to enter in bioregional climate data as well as a desired internal design temperature in order to optimize greenhouse R value, glazing type, thermal mass and artificial light. The tool will give users an approximate operational cost of lights and heating appliances per month and year so that they can anticipate ongoing energy expenses. </a:t>
          </a:r>
          <a:endParaRPr lang="en-US" sz="1200" b="0">
            <a:solidFill>
              <a:srgbClr val="894F2F"/>
            </a:solidFill>
            <a:effectLst/>
          </a:endParaRPr>
        </a:p>
        <a:p>
          <a:pPr algn="l" rtl="0"/>
          <a:r>
            <a:rPr lang="en-US" sz="1200" b="0">
              <a:solidFill>
                <a:srgbClr val="894F2F"/>
              </a:solidFill>
              <a:effectLst/>
            </a:rPr>
            <a:t/>
          </a:r>
          <a:br>
            <a:rPr lang="en-US" sz="1200" b="0">
              <a:solidFill>
                <a:srgbClr val="894F2F"/>
              </a:solidFill>
              <a:effectLst/>
            </a:rPr>
          </a:br>
          <a:r>
            <a:rPr lang="en-US" sz="1200" b="0" i="0" u="none" strike="noStrike">
              <a:solidFill>
                <a:srgbClr val="894F2F"/>
              </a:solidFill>
              <a:effectLst/>
              <a:latin typeface="+mn-lt"/>
              <a:ea typeface="+mn-ea"/>
              <a:cs typeface="+mn-cs"/>
            </a:rPr>
            <a:t>The tool is not meant to provide detailed design information and it is highly recommended that you consult with the appropriate building experts within your bioregion for foundation design, building science, thermal protection and heating system design. </a:t>
          </a:r>
          <a:endParaRPr lang="en-US" sz="1200" b="0">
            <a:solidFill>
              <a:srgbClr val="894F2F"/>
            </a:solidFill>
            <a:effectLst/>
          </a:endParaRPr>
        </a:p>
        <a:p>
          <a:pPr algn="l" rtl="0"/>
          <a:r>
            <a:rPr lang="en-US" sz="1200" b="0">
              <a:solidFill>
                <a:srgbClr val="894F2F"/>
              </a:solidFill>
              <a:effectLst/>
            </a:rPr>
            <a:t/>
          </a:r>
          <a:br>
            <a:rPr lang="en-US" sz="1200" b="0">
              <a:solidFill>
                <a:srgbClr val="894F2F"/>
              </a:solidFill>
              <a:effectLst/>
            </a:rPr>
          </a:br>
          <a:r>
            <a:rPr lang="en-US" sz="1200" b="0" i="0" u="none" strike="noStrike">
              <a:solidFill>
                <a:srgbClr val="894F2F"/>
              </a:solidFill>
              <a:effectLst/>
              <a:latin typeface="+mn-lt"/>
              <a:ea typeface="+mn-ea"/>
              <a:cs typeface="+mn-cs"/>
            </a:rPr>
            <a:t>From time to time we will be issuing updates to the tool. To be notified of updates are released go to</a:t>
          </a:r>
          <a:r>
            <a:rPr lang="en-US" sz="1200" b="0" i="0" u="none" strike="noStrike" baseline="0">
              <a:solidFill>
                <a:srgbClr val="894F2F"/>
              </a:solidFill>
              <a:effectLst/>
              <a:latin typeface="+mn-lt"/>
              <a:ea typeface="+mn-ea"/>
              <a:cs typeface="+mn-cs"/>
            </a:rPr>
            <a:t> www.vergepermaculture.ca/ghtool </a:t>
          </a:r>
          <a:r>
            <a:rPr lang="en-US" sz="1200" b="0" i="0" u="none" strike="noStrike">
              <a:solidFill>
                <a:srgbClr val="894F2F"/>
              </a:solidFill>
              <a:effectLst/>
              <a:latin typeface="+mn-lt"/>
              <a:ea typeface="+mn-ea"/>
              <a:cs typeface="+mn-cs"/>
            </a:rPr>
            <a:t>and sign up. </a:t>
          </a:r>
          <a:endParaRPr lang="en-US" sz="1200" b="0">
            <a:solidFill>
              <a:srgbClr val="894F2F"/>
            </a:solidFill>
            <a:effectLst/>
          </a:endParaRPr>
        </a:p>
        <a:p>
          <a:pPr algn="l" rtl="0"/>
          <a:r>
            <a:rPr lang="en-US" sz="1200" b="0">
              <a:solidFill>
                <a:srgbClr val="894F2F"/>
              </a:solidFill>
              <a:effectLst/>
            </a:rPr>
            <a:t/>
          </a:r>
          <a:br>
            <a:rPr lang="en-US" sz="1200" b="0">
              <a:solidFill>
                <a:srgbClr val="894F2F"/>
              </a:solidFill>
              <a:effectLst/>
            </a:rPr>
          </a:br>
          <a:r>
            <a:rPr lang="en-US" sz="1200" b="0" i="0" u="none" strike="noStrike">
              <a:solidFill>
                <a:srgbClr val="894F2F"/>
              </a:solidFill>
              <a:effectLst/>
              <a:latin typeface="+mn-lt"/>
              <a:ea typeface="+mn-ea"/>
              <a:cs typeface="+mn-cs"/>
            </a:rPr>
            <a:t>If you have any feedback on the tool or suggestions as to items we could add to make it better please send them to info@vergepermaculture.ca </a:t>
          </a:r>
        </a:p>
        <a:p>
          <a:pPr algn="l" rtl="0"/>
          <a:endParaRPr lang="en-US" sz="1200" b="0" i="0" u="none" strike="noStrike">
            <a:solidFill>
              <a:srgbClr val="894F2F"/>
            </a:solidFill>
            <a:effectLst/>
            <a:latin typeface="+mn-lt"/>
            <a:ea typeface="+mn-ea"/>
            <a:cs typeface="+mn-cs"/>
          </a:endParaRPr>
        </a:p>
        <a:p>
          <a:pPr algn="l" rtl="0"/>
          <a:r>
            <a:rPr lang="en-US" sz="1200" b="0" u="sng">
              <a:solidFill>
                <a:srgbClr val="894F2F"/>
              </a:solidFill>
              <a:effectLst/>
            </a:rPr>
            <a:t>Macros must be enabled to use this file:</a:t>
          </a:r>
        </a:p>
        <a:p>
          <a:pPr algn="l" rtl="0"/>
          <a:r>
            <a:rPr lang="en-US" sz="1200" b="0">
              <a:solidFill>
                <a:srgbClr val="894F2F"/>
              </a:solidFill>
              <a:effectLst/>
            </a:rPr>
            <a:t>1. Click the Microsoft Office Button , and then click Excel Options.</a:t>
          </a:r>
        </a:p>
        <a:p>
          <a:pPr algn="l" rtl="0"/>
          <a:r>
            <a:rPr lang="en-US" sz="1200" b="0">
              <a:solidFill>
                <a:srgbClr val="894F2F"/>
              </a:solidFill>
              <a:effectLst/>
            </a:rPr>
            <a:t>2. Click Trust Center, click Trust Center Settings, and then click Macro Settings.</a:t>
          </a:r>
        </a:p>
        <a:p>
          <a:pPr algn="l" rtl="0"/>
          <a:r>
            <a:rPr lang="en-US" sz="1200" b="0">
              <a:solidFill>
                <a:srgbClr val="894F2F"/>
              </a:solidFill>
              <a:effectLst/>
            </a:rPr>
            <a:t>3. Click the option "Enable all macros", and then press "OK".</a:t>
          </a:r>
          <a:endParaRPr lang="en-US" sz="1200" b="0">
            <a:solidFill>
              <a:srgbClr val="894F2F"/>
            </a:solidFill>
          </a:endParaRPr>
        </a:p>
      </xdr:txBody>
    </xdr:sp>
    <xdr:clientData/>
  </xdr:twoCellAnchor>
  <xdr:twoCellAnchor editAs="oneCell">
    <xdr:from>
      <xdr:col>1</xdr:col>
      <xdr:colOff>307738</xdr:colOff>
      <xdr:row>25</xdr:row>
      <xdr:rowOff>99060</xdr:rowOff>
    </xdr:from>
    <xdr:to>
      <xdr:col>2</xdr:col>
      <xdr:colOff>97683</xdr:colOff>
      <xdr:row>26</xdr:row>
      <xdr:rowOff>144780</xdr:rowOff>
    </xdr:to>
    <xdr:pic>
      <xdr:nvPicPr>
        <xdr:cNvPr id="17" name="Picture 16" descr="Image result for mail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280" t="16800" r="10671" b="16800"/>
        <a:stretch/>
      </xdr:blipFill>
      <xdr:spPr bwMode="auto">
        <a:xfrm>
          <a:off x="917338" y="5684520"/>
          <a:ext cx="399545" cy="25908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306989</xdr:colOff>
      <xdr:row>1</xdr:row>
      <xdr:rowOff>9561</xdr:rowOff>
    </xdr:from>
    <xdr:to>
      <xdr:col>13</xdr:col>
      <xdr:colOff>0</xdr:colOff>
      <xdr:row>6</xdr:row>
      <xdr:rowOff>15244</xdr:rowOff>
    </xdr:to>
    <xdr:grpSp>
      <xdr:nvGrpSpPr>
        <xdr:cNvPr id="7" name="HELP1" hidden="1"/>
        <xdr:cNvGrpSpPr/>
      </xdr:nvGrpSpPr>
      <xdr:grpSpPr>
        <a:xfrm>
          <a:off x="4094129" y="200061"/>
          <a:ext cx="3960211" cy="1598263"/>
          <a:chOff x="9116718" y="1659780"/>
          <a:chExt cx="2770187" cy="1127137"/>
        </a:xfrm>
      </xdr:grpSpPr>
      <xdr:sp macro="" textlink="">
        <xdr:nvSpPr>
          <xdr:cNvPr id="8" name="Arc 7" hidden="1"/>
          <xdr:cNvSpPr/>
        </xdr:nvSpPr>
        <xdr:spPr>
          <a:xfrm rot="13770965" flipH="1">
            <a:off x="9251064" y="1525434"/>
            <a:ext cx="991339" cy="1260031"/>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1" name="Rounded Rectangle 10" hidden="1"/>
          <xdr:cNvSpPr/>
        </xdr:nvSpPr>
        <xdr:spPr>
          <a:xfrm>
            <a:off x="9711845" y="2383534"/>
            <a:ext cx="2175060" cy="403383"/>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Use the drop down menu to select the USDA climate zone that you wish to mimic</a:t>
            </a:r>
          </a:p>
        </xdr:txBody>
      </xdr:sp>
    </xdr:grpSp>
    <xdr:clientData/>
  </xdr:twoCellAnchor>
  <xdr:twoCellAnchor>
    <xdr:from>
      <xdr:col>1</xdr:col>
      <xdr:colOff>15240</xdr:colOff>
      <xdr:row>2</xdr:row>
      <xdr:rowOff>91440</xdr:rowOff>
    </xdr:from>
    <xdr:to>
      <xdr:col>1</xdr:col>
      <xdr:colOff>746760</xdr:colOff>
      <xdr:row>3</xdr:row>
      <xdr:rowOff>121920</xdr:rowOff>
    </xdr:to>
    <xdr:sp macro="[0]!_xludf.help" textlink="">
      <xdr:nvSpPr>
        <xdr:cNvPr id="12" name="Rounded Rectangle 11"/>
        <xdr:cNvSpPr/>
      </xdr:nvSpPr>
      <xdr:spPr>
        <a:xfrm>
          <a:off x="518160" y="754380"/>
          <a:ext cx="731520" cy="213360"/>
        </a:xfrm>
        <a:prstGeom prst="roundRect">
          <a:avLst/>
        </a:prstGeom>
        <a:solidFill>
          <a:srgbClr val="9EA32C"/>
        </a:solidFill>
        <a:ln>
          <a:solidFill>
            <a:srgbClr val="757921"/>
          </a:solidFill>
        </a:ln>
        <a:effectLst>
          <a:reflection blurRad="6350" stA="50000" endA="300" endPos="5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&gt;HELP</a:t>
          </a:r>
        </a:p>
      </xdr:txBody>
    </xdr:sp>
    <xdr:clientData/>
  </xdr:twoCellAnchor>
  <xdr:twoCellAnchor>
    <xdr:from>
      <xdr:col>1</xdr:col>
      <xdr:colOff>53037</xdr:colOff>
      <xdr:row>26</xdr:row>
      <xdr:rowOff>68580</xdr:rowOff>
    </xdr:from>
    <xdr:to>
      <xdr:col>9</xdr:col>
      <xdr:colOff>0</xdr:colOff>
      <xdr:row>47</xdr:row>
      <xdr:rowOff>109064</xdr:rowOff>
    </xdr:to>
    <xdr:pic>
      <xdr:nvPicPr>
        <xdr:cNvPr id="13" name="HELP2" descr="Image result for plant hardiness zones"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957" y="5852160"/>
          <a:ext cx="5364783" cy="3880964"/>
        </a:xfrm>
        <a:prstGeom prst="rect">
          <a:avLst/>
        </a:prstGeom>
        <a:noFill/>
        <a:ln w="1905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121920</xdr:colOff>
      <xdr:row>26</xdr:row>
      <xdr:rowOff>68580</xdr:rowOff>
    </xdr:from>
    <xdr:to>
      <xdr:col>18</xdr:col>
      <xdr:colOff>0</xdr:colOff>
      <xdr:row>51</xdr:row>
      <xdr:rowOff>98132</xdr:rowOff>
    </xdr:to>
    <xdr:pic>
      <xdr:nvPicPr>
        <xdr:cNvPr id="14" name="HELP3" descr="Image result for USDA Map Canada" hidden="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6060" y="5852160"/>
          <a:ext cx="5372100" cy="4601552"/>
        </a:xfrm>
        <a:prstGeom prst="rect">
          <a:avLst/>
        </a:prstGeom>
        <a:noFill/>
        <a:ln w="19050">
          <a:solidFill>
            <a:srgbClr val="FF0000"/>
          </a:solidFill>
        </a:ln>
      </xdr:spPr>
    </xdr:pic>
    <xdr:clientData/>
  </xdr:twoCellAnchor>
  <xdr:twoCellAnchor>
    <xdr:from>
      <xdr:col>19</xdr:col>
      <xdr:colOff>167639</xdr:colOff>
      <xdr:row>7</xdr:row>
      <xdr:rowOff>45720</xdr:rowOff>
    </xdr:from>
    <xdr:to>
      <xdr:col>24</xdr:col>
      <xdr:colOff>89249</xdr:colOff>
      <xdr:row>15</xdr:row>
      <xdr:rowOff>137159</xdr:rowOff>
    </xdr:to>
    <xdr:grpSp>
      <xdr:nvGrpSpPr>
        <xdr:cNvPr id="9" name="HELP1" hidden="1"/>
        <xdr:cNvGrpSpPr/>
      </xdr:nvGrpSpPr>
      <xdr:grpSpPr>
        <a:xfrm>
          <a:off x="12374879" y="2019300"/>
          <a:ext cx="3617310" cy="1767839"/>
          <a:chOff x="9116718" y="1659780"/>
          <a:chExt cx="2266242" cy="1596961"/>
        </a:xfrm>
      </xdr:grpSpPr>
      <xdr:sp macro="" textlink="">
        <xdr:nvSpPr>
          <xdr:cNvPr id="10" name="Arc 9" hidden="1"/>
          <xdr:cNvSpPr/>
        </xdr:nvSpPr>
        <xdr:spPr>
          <a:xfrm rot="15615210" flipH="1">
            <a:off x="9251064" y="1525434"/>
            <a:ext cx="991339" cy="1260031"/>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5" name="Rounded Rectangle 14" hidden="1">
            <a:hlinkClick xmlns:r="http://schemas.openxmlformats.org/officeDocument/2006/relationships" r:id="rId3"/>
          </xdr:cNvPr>
          <xdr:cNvSpPr/>
        </xdr:nvSpPr>
        <xdr:spPr>
          <a:xfrm>
            <a:off x="9207900" y="2431717"/>
            <a:ext cx="2175060" cy="825024"/>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Go to www.degreedays.net and enter in your city or closest city in “weather station id”. Click on the “Heating” data type, Fahrenheit Temperature Units, and the Base temperature that as displayed above.  Choose monthly in the “breakdown section” and a 12 month “period covered”.</a:t>
            </a:r>
          </a:p>
        </xdr:txBody>
      </xdr:sp>
    </xdr:grpSp>
    <xdr:clientData/>
  </xdr:twoCellAnchor>
  <xdr:twoCellAnchor editAs="oneCell">
    <xdr:from>
      <xdr:col>19</xdr:col>
      <xdr:colOff>289560</xdr:colOff>
      <xdr:row>16</xdr:row>
      <xdr:rowOff>38100</xdr:rowOff>
    </xdr:from>
    <xdr:to>
      <xdr:col>29</xdr:col>
      <xdr:colOff>571500</xdr:colOff>
      <xdr:row>34</xdr:row>
      <xdr:rowOff>29625</xdr:rowOff>
    </xdr:to>
    <xdr:pic>
      <xdr:nvPicPr>
        <xdr:cNvPr id="2" name="HELP4" hidden="1"/>
        <xdr:cNvPicPr>
          <a:picLocks noChangeAspect="1"/>
        </xdr:cNvPicPr>
      </xdr:nvPicPr>
      <xdr:blipFill>
        <a:blip xmlns:r="http://schemas.openxmlformats.org/officeDocument/2006/relationships" r:embed="rId4"/>
        <a:stretch>
          <a:fillRect/>
        </a:stretch>
      </xdr:blipFill>
      <xdr:spPr>
        <a:xfrm>
          <a:off x="12496800" y="3550920"/>
          <a:ext cx="7025640" cy="3405285"/>
        </a:xfrm>
        <a:prstGeom prst="rect">
          <a:avLst/>
        </a:prstGeom>
      </xdr:spPr>
    </xdr:pic>
    <xdr:clientData/>
  </xdr:twoCellAnchor>
  <xdr:twoCellAnchor editAs="oneCell">
    <xdr:from>
      <xdr:col>1</xdr:col>
      <xdr:colOff>68580</xdr:colOff>
      <xdr:row>1</xdr:row>
      <xdr:rowOff>68580</xdr:rowOff>
    </xdr:from>
    <xdr:to>
      <xdr:col>1</xdr:col>
      <xdr:colOff>1085876</xdr:colOff>
      <xdr:row>1</xdr:row>
      <xdr:rowOff>754380</xdr:rowOff>
    </xdr:to>
    <xdr:pic>
      <xdr:nvPicPr>
        <xdr:cNvPr id="16" name="Picture 15">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571500" y="259080"/>
          <a:ext cx="1017296" cy="685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xdr:col>
      <xdr:colOff>22860</xdr:colOff>
      <xdr:row>52</xdr:row>
      <xdr:rowOff>114300</xdr:rowOff>
    </xdr:from>
    <xdr:to>
      <xdr:col>14</xdr:col>
      <xdr:colOff>220980</xdr:colOff>
      <xdr:row>54</xdr:row>
      <xdr:rowOff>160020</xdr:rowOff>
    </xdr:to>
    <xdr:grpSp>
      <xdr:nvGrpSpPr>
        <xdr:cNvPr id="17" name="Group 16"/>
        <xdr:cNvGrpSpPr/>
      </xdr:nvGrpSpPr>
      <xdr:grpSpPr>
        <a:xfrm>
          <a:off x="525780" y="10683240"/>
          <a:ext cx="8282940" cy="411480"/>
          <a:chOff x="4480560" y="784860"/>
          <a:chExt cx="8282940" cy="464820"/>
        </a:xfrm>
      </xdr:grpSpPr>
      <xdr:sp macro="[0]!menu0" textlink="">
        <xdr:nvSpPr>
          <xdr:cNvPr id="18"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19" name="menu"/>
          <xdr:cNvSpPr/>
        </xdr:nvSpPr>
        <xdr:spPr>
          <a:xfrm>
            <a:off x="5524132"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1. Climate Data</a:t>
            </a:r>
          </a:p>
        </xdr:txBody>
      </xdr:sp>
      <xdr:sp macro="[0]!menu2" textlink="">
        <xdr:nvSpPr>
          <xdr:cNvPr id="20"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21"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22" name="menu"/>
          <xdr:cNvSpPr/>
        </xdr:nvSpPr>
        <xdr:spPr>
          <a:xfrm>
            <a:off x="867453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4. Thermal Mass Calculator</a:t>
            </a:r>
          </a:p>
        </xdr:txBody>
      </xdr:sp>
      <xdr:sp macro="[0]!menu5" textlink="">
        <xdr:nvSpPr>
          <xdr:cNvPr id="23"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24"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25"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twoCellAnchor>
    <xdr:from>
      <xdr:col>17</xdr:col>
      <xdr:colOff>60960</xdr:colOff>
      <xdr:row>23</xdr:row>
      <xdr:rowOff>0</xdr:rowOff>
    </xdr:from>
    <xdr:to>
      <xdr:col>18</xdr:col>
      <xdr:colOff>7620</xdr:colOff>
      <xdr:row>24</xdr:row>
      <xdr:rowOff>0</xdr:rowOff>
    </xdr:to>
    <xdr:sp macro="[0]!copypaste" textlink="">
      <xdr:nvSpPr>
        <xdr:cNvPr id="26" name="Rounded Rectangle 25"/>
        <xdr:cNvSpPr/>
      </xdr:nvSpPr>
      <xdr:spPr>
        <a:xfrm>
          <a:off x="10668000" y="5242560"/>
          <a:ext cx="1287780" cy="198120"/>
        </a:xfrm>
        <a:prstGeom prst="roundRect">
          <a:avLst/>
        </a:prstGeom>
        <a:solidFill>
          <a:srgbClr val="9EA32C"/>
        </a:solidFill>
        <a:ln>
          <a:solidFill>
            <a:srgbClr val="757921"/>
          </a:solidFill>
        </a:ln>
        <a:effectLst>
          <a:reflection blurRad="6350" stA="50000" endA="300" endPos="5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&gt;COPY PASTE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91440</xdr:colOff>
      <xdr:row>4</xdr:row>
      <xdr:rowOff>167640</xdr:rowOff>
    </xdr:from>
    <xdr:to>
      <xdr:col>8</xdr:col>
      <xdr:colOff>91440</xdr:colOff>
      <xdr:row>5</xdr:row>
      <xdr:rowOff>167640</xdr:rowOff>
    </xdr:to>
    <xdr:sp macro="[0]!defaults1" textlink="">
      <xdr:nvSpPr>
        <xdr:cNvPr id="24" name="Rounded Rectangle 23"/>
        <xdr:cNvSpPr/>
      </xdr:nvSpPr>
      <xdr:spPr>
        <a:xfrm>
          <a:off x="5524500" y="1211580"/>
          <a:ext cx="1463040" cy="182880"/>
        </a:xfrm>
        <a:prstGeom prst="roundRect">
          <a:avLst/>
        </a:prstGeom>
        <a:solidFill>
          <a:srgbClr val="9EA32C"/>
        </a:solidFill>
        <a:ln>
          <a:solidFill>
            <a:srgbClr val="757921"/>
          </a:solidFill>
        </a:ln>
        <a:effectLst>
          <a:reflection blurRad="6350" stA="50000" endA="300" endPos="5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&gt; ESTIMATE</a:t>
          </a:r>
        </a:p>
      </xdr:txBody>
    </xdr:sp>
    <xdr:clientData/>
  </xdr:twoCellAnchor>
  <xdr:twoCellAnchor>
    <xdr:from>
      <xdr:col>7</xdr:col>
      <xdr:colOff>99060</xdr:colOff>
      <xdr:row>6</xdr:row>
      <xdr:rowOff>0</xdr:rowOff>
    </xdr:from>
    <xdr:to>
      <xdr:col>8</xdr:col>
      <xdr:colOff>99060</xdr:colOff>
      <xdr:row>6</xdr:row>
      <xdr:rowOff>182880</xdr:rowOff>
    </xdr:to>
    <xdr:sp macro="[0]!defaults2" textlink="">
      <xdr:nvSpPr>
        <xdr:cNvPr id="26" name="Rounded Rectangle 25"/>
        <xdr:cNvSpPr/>
      </xdr:nvSpPr>
      <xdr:spPr>
        <a:xfrm>
          <a:off x="5532120" y="1409700"/>
          <a:ext cx="1463040" cy="182880"/>
        </a:xfrm>
        <a:prstGeom prst="roundRect">
          <a:avLst/>
        </a:prstGeom>
        <a:solidFill>
          <a:srgbClr val="9EA32C"/>
        </a:solidFill>
        <a:ln>
          <a:solidFill>
            <a:srgbClr val="757921"/>
          </a:solidFill>
        </a:ln>
        <a:effectLst>
          <a:reflection blurRad="6350" stA="50000" endA="300" endPos="5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&gt; ESTIMATE</a:t>
          </a:r>
        </a:p>
      </xdr:txBody>
    </xdr:sp>
    <xdr:clientData/>
  </xdr:twoCellAnchor>
  <xdr:twoCellAnchor>
    <xdr:from>
      <xdr:col>2</xdr:col>
      <xdr:colOff>0</xdr:colOff>
      <xdr:row>78</xdr:row>
      <xdr:rowOff>0</xdr:rowOff>
    </xdr:from>
    <xdr:to>
      <xdr:col>6</xdr:col>
      <xdr:colOff>967740</xdr:colOff>
      <xdr:row>98</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53340</xdr:colOff>
      <xdr:row>1</xdr:row>
      <xdr:rowOff>76200</xdr:rowOff>
    </xdr:from>
    <xdr:to>
      <xdr:col>2</xdr:col>
      <xdr:colOff>636296</xdr:colOff>
      <xdr:row>1</xdr:row>
      <xdr:rowOff>762000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35280" y="266700"/>
          <a:ext cx="1017296" cy="685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7</xdr:col>
      <xdr:colOff>1198217</xdr:colOff>
      <xdr:row>1</xdr:row>
      <xdr:rowOff>686113</xdr:rowOff>
    </xdr:from>
    <xdr:to>
      <xdr:col>14</xdr:col>
      <xdr:colOff>137161</xdr:colOff>
      <xdr:row>11</xdr:row>
      <xdr:rowOff>137161</xdr:rowOff>
    </xdr:to>
    <xdr:grpSp>
      <xdr:nvGrpSpPr>
        <xdr:cNvPr id="6" name="HELP1" hidden="1"/>
        <xdr:cNvGrpSpPr/>
      </xdr:nvGrpSpPr>
      <xdr:grpSpPr>
        <a:xfrm>
          <a:off x="8658197" y="1059493"/>
          <a:ext cx="3701444" cy="1996128"/>
          <a:chOff x="9255085" y="1520281"/>
          <a:chExt cx="2589178" cy="1407722"/>
        </a:xfrm>
      </xdr:grpSpPr>
      <xdr:sp macro="" textlink="">
        <xdr:nvSpPr>
          <xdr:cNvPr id="7" name="Arc 6" hidden="1"/>
          <xdr:cNvSpPr/>
        </xdr:nvSpPr>
        <xdr:spPr>
          <a:xfrm rot="12614870" flipH="1">
            <a:off x="9255085" y="1520281"/>
            <a:ext cx="983297" cy="1270337"/>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8" name="Rounded Rectangle 7" hidden="1">
            <a:hlinkClick xmlns:r="http://schemas.openxmlformats.org/officeDocument/2006/relationships" r:id="rId4"/>
          </xdr:cNvPr>
          <xdr:cNvSpPr/>
        </xdr:nvSpPr>
        <xdr:spPr>
          <a:xfrm>
            <a:off x="9711845" y="2383534"/>
            <a:ext cx="2132418" cy="544469"/>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For assistance using this tool please visit www.vergepermaculture.ca/greenhousetool where you will find a series of tutorials. The tutorial videos will cover how to fill in all aspects of the tool. </a:t>
            </a:r>
          </a:p>
        </xdr:txBody>
      </xdr:sp>
    </xdr:grpSp>
    <xdr:clientData/>
  </xdr:twoCellAnchor>
  <xdr:twoCellAnchor>
    <xdr:from>
      <xdr:col>0</xdr:col>
      <xdr:colOff>487680</xdr:colOff>
      <xdr:row>2</xdr:row>
      <xdr:rowOff>28539</xdr:rowOff>
    </xdr:from>
    <xdr:to>
      <xdr:col>2</xdr:col>
      <xdr:colOff>281940</xdr:colOff>
      <xdr:row>3</xdr:row>
      <xdr:rowOff>43779</xdr:rowOff>
    </xdr:to>
    <xdr:sp macro="[0]!_xludf.help" textlink="">
      <xdr:nvSpPr>
        <xdr:cNvPr id="9" name="Rounded Rectangle 8"/>
        <xdr:cNvSpPr/>
      </xdr:nvSpPr>
      <xdr:spPr>
        <a:xfrm>
          <a:off x="487680" y="1224879"/>
          <a:ext cx="731520" cy="213360"/>
        </a:xfrm>
        <a:prstGeom prst="roundRect">
          <a:avLst/>
        </a:prstGeom>
        <a:solidFill>
          <a:srgbClr val="9EA32C"/>
        </a:solidFill>
        <a:ln>
          <a:solidFill>
            <a:srgbClr val="757921"/>
          </a:solidFill>
        </a:ln>
        <a:effectLst>
          <a:reflection blurRad="6350" stA="50000" endA="300" endPos="5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&gt;HELP</a:t>
          </a:r>
        </a:p>
      </xdr:txBody>
    </xdr:sp>
    <xdr:clientData/>
  </xdr:twoCellAnchor>
  <xdr:twoCellAnchor>
    <xdr:from>
      <xdr:col>1</xdr:col>
      <xdr:colOff>137160</xdr:colOff>
      <xdr:row>98</xdr:row>
      <xdr:rowOff>0</xdr:rowOff>
    </xdr:from>
    <xdr:to>
      <xdr:col>8</xdr:col>
      <xdr:colOff>0</xdr:colOff>
      <xdr:row>100</xdr:row>
      <xdr:rowOff>45720</xdr:rowOff>
    </xdr:to>
    <xdr:grpSp>
      <xdr:nvGrpSpPr>
        <xdr:cNvPr id="10" name="Group 9"/>
        <xdr:cNvGrpSpPr/>
      </xdr:nvGrpSpPr>
      <xdr:grpSpPr>
        <a:xfrm>
          <a:off x="640080" y="19766280"/>
          <a:ext cx="8282940" cy="411480"/>
          <a:chOff x="4480560" y="784860"/>
          <a:chExt cx="8282940" cy="464820"/>
        </a:xfrm>
      </xdr:grpSpPr>
      <xdr:sp macro="[0]!menu0" textlink="">
        <xdr:nvSpPr>
          <xdr:cNvPr id="11"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12"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13" name="menu"/>
          <xdr:cNvSpPr/>
        </xdr:nvSpPr>
        <xdr:spPr>
          <a:xfrm>
            <a:off x="6574267"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2. Energy Consumption</a:t>
            </a:r>
          </a:p>
        </xdr:txBody>
      </xdr:sp>
      <xdr:sp macro="[0]!menu3" textlink="">
        <xdr:nvSpPr>
          <xdr:cNvPr id="14"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15" name="menu"/>
          <xdr:cNvSpPr/>
        </xdr:nvSpPr>
        <xdr:spPr>
          <a:xfrm>
            <a:off x="867453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4. Thermal Mass Calculator</a:t>
            </a:r>
          </a:p>
        </xdr:txBody>
      </xdr:sp>
      <xdr:sp macro="[0]!menu5" textlink="">
        <xdr:nvSpPr>
          <xdr:cNvPr id="16"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17"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18"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60960</xdr:colOff>
      <xdr:row>1</xdr:row>
      <xdr:rowOff>68580</xdr:rowOff>
    </xdr:from>
    <xdr:to>
      <xdr:col>3</xdr:col>
      <xdr:colOff>560096</xdr:colOff>
      <xdr:row>1</xdr:row>
      <xdr:rowOff>754380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 y="259080"/>
          <a:ext cx="1017296" cy="685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xdr:col>
      <xdr:colOff>0</xdr:colOff>
      <xdr:row>38</xdr:row>
      <xdr:rowOff>0</xdr:rowOff>
    </xdr:from>
    <xdr:to>
      <xdr:col>10</xdr:col>
      <xdr:colOff>205740</xdr:colOff>
      <xdr:row>40</xdr:row>
      <xdr:rowOff>45720</xdr:rowOff>
    </xdr:to>
    <xdr:grpSp>
      <xdr:nvGrpSpPr>
        <xdr:cNvPr id="3" name="Group 2"/>
        <xdr:cNvGrpSpPr/>
      </xdr:nvGrpSpPr>
      <xdr:grpSpPr>
        <a:xfrm>
          <a:off x="502920" y="7612380"/>
          <a:ext cx="8282940" cy="411480"/>
          <a:chOff x="4480560" y="784860"/>
          <a:chExt cx="8282940" cy="464820"/>
        </a:xfrm>
      </xdr:grpSpPr>
      <xdr:sp macro="[0]!menu0" textlink="">
        <xdr:nvSpPr>
          <xdr:cNvPr id="4"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5"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6"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7" name="menu"/>
          <xdr:cNvSpPr/>
        </xdr:nvSpPr>
        <xdr:spPr>
          <a:xfrm>
            <a:off x="7624402"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3. Heat Loss &amp; Cost</a:t>
            </a:r>
          </a:p>
        </xdr:txBody>
      </xdr:sp>
      <xdr:sp macro="[0]!menu4" textlink="">
        <xdr:nvSpPr>
          <xdr:cNvPr id="8" name="menu"/>
          <xdr:cNvSpPr/>
        </xdr:nvSpPr>
        <xdr:spPr>
          <a:xfrm>
            <a:off x="867453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4. Thermal Mass Calculator</a:t>
            </a:r>
          </a:p>
        </xdr:txBody>
      </xdr:sp>
      <xdr:sp macro="[0]!menu5" textlink="">
        <xdr:nvSpPr>
          <xdr:cNvPr id="9"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10"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11"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twoCellAnchor editAs="absolute">
    <xdr:from>
      <xdr:col>1</xdr:col>
      <xdr:colOff>0</xdr:colOff>
      <xdr:row>3</xdr:row>
      <xdr:rowOff>0</xdr:rowOff>
    </xdr:from>
    <xdr:to>
      <xdr:col>12</xdr:col>
      <xdr:colOff>7620</xdr:colOff>
      <xdr:row>35</xdr:row>
      <xdr:rowOff>175260</xdr:rowOff>
    </xdr:to>
    <xdr:pic>
      <xdr:nvPicPr>
        <xdr:cNvPr id="12"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1363980"/>
          <a:ext cx="8801100" cy="5875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7620</xdr:colOff>
      <xdr:row>11</xdr:row>
      <xdr:rowOff>175260</xdr:rowOff>
    </xdr:to>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 y="1584960"/>
          <a:ext cx="6294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xdr:row>
      <xdr:rowOff>68580</xdr:rowOff>
    </xdr:from>
    <xdr:to>
      <xdr:col>2</xdr:col>
      <xdr:colOff>407696</xdr:colOff>
      <xdr:row>1</xdr:row>
      <xdr:rowOff>754380</xdr:rowOff>
    </xdr:to>
    <xdr:pic>
      <xdr:nvPicPr>
        <xdr:cNvPr id="2" name="Picture 1">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79120" y="259080"/>
          <a:ext cx="1017296" cy="685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xdr:col>
      <xdr:colOff>0</xdr:colOff>
      <xdr:row>2</xdr:row>
      <xdr:rowOff>38100</xdr:rowOff>
    </xdr:from>
    <xdr:to>
      <xdr:col>2</xdr:col>
      <xdr:colOff>45720</xdr:colOff>
      <xdr:row>3</xdr:row>
      <xdr:rowOff>68580</xdr:rowOff>
    </xdr:to>
    <xdr:sp macro="[0]!_xludf.help" textlink="">
      <xdr:nvSpPr>
        <xdr:cNvPr id="4" name="Rounded Rectangle 3"/>
        <xdr:cNvSpPr/>
      </xdr:nvSpPr>
      <xdr:spPr>
        <a:xfrm>
          <a:off x="502920" y="1440180"/>
          <a:ext cx="731520" cy="213360"/>
        </a:xfrm>
        <a:prstGeom prst="roundRect">
          <a:avLst/>
        </a:prstGeom>
        <a:solidFill>
          <a:srgbClr val="9EA32C"/>
        </a:solidFill>
        <a:ln>
          <a:solidFill>
            <a:srgbClr val="757921"/>
          </a:solidFill>
        </a:ln>
        <a:effectLst>
          <a:reflection blurRad="6350" stA="50000" endA="300" endPos="5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&gt;HELP</a:t>
          </a:r>
        </a:p>
      </xdr:txBody>
    </xdr:sp>
    <xdr:clientData/>
  </xdr:twoCellAnchor>
  <xdr:twoCellAnchor>
    <xdr:from>
      <xdr:col>5</xdr:col>
      <xdr:colOff>449580</xdr:colOff>
      <xdr:row>1</xdr:row>
      <xdr:rowOff>777240</xdr:rowOff>
    </xdr:from>
    <xdr:to>
      <xdr:col>11</xdr:col>
      <xdr:colOff>302924</xdr:colOff>
      <xdr:row>12</xdr:row>
      <xdr:rowOff>121608</xdr:rowOff>
    </xdr:to>
    <xdr:grpSp>
      <xdr:nvGrpSpPr>
        <xdr:cNvPr id="5" name="HELP1" hidden="1"/>
        <xdr:cNvGrpSpPr/>
      </xdr:nvGrpSpPr>
      <xdr:grpSpPr>
        <a:xfrm>
          <a:off x="7124700" y="1356360"/>
          <a:ext cx="3701444" cy="2011368"/>
          <a:chOff x="9255085" y="1520281"/>
          <a:chExt cx="2589178" cy="1407722"/>
        </a:xfrm>
      </xdr:grpSpPr>
      <xdr:sp macro="" textlink="">
        <xdr:nvSpPr>
          <xdr:cNvPr id="6" name="Arc 5" hidden="1"/>
          <xdr:cNvSpPr/>
        </xdr:nvSpPr>
        <xdr:spPr>
          <a:xfrm rot="12614870" flipH="1">
            <a:off x="9255085" y="1520281"/>
            <a:ext cx="983297" cy="1270337"/>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 name="Rounded Rectangle 6" hidden="1">
            <a:hlinkClick xmlns:r="http://schemas.openxmlformats.org/officeDocument/2006/relationships" r:id="rId4"/>
          </xdr:cNvPr>
          <xdr:cNvSpPr/>
        </xdr:nvSpPr>
        <xdr:spPr>
          <a:xfrm>
            <a:off x="9711845" y="2383534"/>
            <a:ext cx="2132418" cy="544469"/>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For assistance using this tool please visit www.vergepermaculture.ca/greenhousetool where you will find a series of tutorials. The tutorial videos will cover how to fill in all aspects of the tool. </a:t>
            </a:r>
          </a:p>
        </xdr:txBody>
      </xdr:sp>
    </xdr:grpSp>
    <xdr:clientData/>
  </xdr:twoCellAnchor>
  <xdr:twoCellAnchor>
    <xdr:from>
      <xdr:col>1</xdr:col>
      <xdr:colOff>0</xdr:colOff>
      <xdr:row>14</xdr:row>
      <xdr:rowOff>0</xdr:rowOff>
    </xdr:from>
    <xdr:to>
      <xdr:col>8</xdr:col>
      <xdr:colOff>91440</xdr:colOff>
      <xdr:row>16</xdr:row>
      <xdr:rowOff>45720</xdr:rowOff>
    </xdr:to>
    <xdr:grpSp>
      <xdr:nvGrpSpPr>
        <xdr:cNvPr id="8" name="Group 7"/>
        <xdr:cNvGrpSpPr/>
      </xdr:nvGrpSpPr>
      <xdr:grpSpPr>
        <a:xfrm>
          <a:off x="502920" y="3611880"/>
          <a:ext cx="8282940" cy="411480"/>
          <a:chOff x="4480560" y="784860"/>
          <a:chExt cx="8282940" cy="464820"/>
        </a:xfrm>
      </xdr:grpSpPr>
      <xdr:sp macro="[0]!menu0" textlink="">
        <xdr:nvSpPr>
          <xdr:cNvPr id="9"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10"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11"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12"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13" name="menu"/>
          <xdr:cNvSpPr/>
        </xdr:nvSpPr>
        <xdr:spPr>
          <a:xfrm>
            <a:off x="8674537"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4. Thermal Mass Calculator</a:t>
            </a:r>
          </a:p>
        </xdr:txBody>
      </xdr:sp>
      <xdr:sp macro="[0]!menu5" textlink="">
        <xdr:nvSpPr>
          <xdr:cNvPr id="14"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15"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16"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twoCellAnchor editAs="oneCell">
    <xdr:from>
      <xdr:col>2</xdr:col>
      <xdr:colOff>0</xdr:colOff>
      <xdr:row>3</xdr:row>
      <xdr:rowOff>0</xdr:rowOff>
    </xdr:from>
    <xdr:to>
      <xdr:col>6</xdr:col>
      <xdr:colOff>7620</xdr:colOff>
      <xdr:row>11</xdr:row>
      <xdr:rowOff>175260</xdr:rowOff>
    </xdr:to>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 y="1584960"/>
          <a:ext cx="6294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0</xdr:rowOff>
    </xdr:from>
    <xdr:to>
      <xdr:col>8</xdr:col>
      <xdr:colOff>91440</xdr:colOff>
      <xdr:row>16</xdr:row>
      <xdr:rowOff>45720</xdr:rowOff>
    </xdr:to>
    <xdr:grpSp>
      <xdr:nvGrpSpPr>
        <xdr:cNvPr id="20" name="Group 19"/>
        <xdr:cNvGrpSpPr/>
      </xdr:nvGrpSpPr>
      <xdr:grpSpPr>
        <a:xfrm>
          <a:off x="502920" y="3611880"/>
          <a:ext cx="8282940" cy="411480"/>
          <a:chOff x="4480560" y="784860"/>
          <a:chExt cx="8282940" cy="464820"/>
        </a:xfrm>
      </xdr:grpSpPr>
      <xdr:sp macro="[0]!menu0" textlink="">
        <xdr:nvSpPr>
          <xdr:cNvPr id="21"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22"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23"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24"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25" name="menu"/>
          <xdr:cNvSpPr/>
        </xdr:nvSpPr>
        <xdr:spPr>
          <a:xfrm>
            <a:off x="8674537"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4. Thermal Mass Calculator</a:t>
            </a:r>
          </a:p>
        </xdr:txBody>
      </xdr:sp>
      <xdr:sp macro="[0]!menu5" textlink="">
        <xdr:nvSpPr>
          <xdr:cNvPr id="26"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27"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28"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twoCellAnchor editAs="oneCell">
    <xdr:from>
      <xdr:col>2</xdr:col>
      <xdr:colOff>0</xdr:colOff>
      <xdr:row>3</xdr:row>
      <xdr:rowOff>0</xdr:rowOff>
    </xdr:from>
    <xdr:to>
      <xdr:col>6</xdr:col>
      <xdr:colOff>7620</xdr:colOff>
      <xdr:row>11</xdr:row>
      <xdr:rowOff>175260</xdr:rowOff>
    </xdr:to>
    <xdr:pic>
      <xdr:nvPicPr>
        <xdr:cNvPr id="29" name="Picture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 y="1584960"/>
          <a:ext cx="6294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0</xdr:rowOff>
    </xdr:from>
    <xdr:to>
      <xdr:col>8</xdr:col>
      <xdr:colOff>91440</xdr:colOff>
      <xdr:row>16</xdr:row>
      <xdr:rowOff>45720</xdr:rowOff>
    </xdr:to>
    <xdr:grpSp>
      <xdr:nvGrpSpPr>
        <xdr:cNvPr id="30" name="Group 29"/>
        <xdr:cNvGrpSpPr/>
      </xdr:nvGrpSpPr>
      <xdr:grpSpPr>
        <a:xfrm>
          <a:off x="502920" y="3611880"/>
          <a:ext cx="8282940" cy="411480"/>
          <a:chOff x="4480560" y="784860"/>
          <a:chExt cx="8282940" cy="464820"/>
        </a:xfrm>
      </xdr:grpSpPr>
      <xdr:sp macro="[0]!menu0" textlink="">
        <xdr:nvSpPr>
          <xdr:cNvPr id="31"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32"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33"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34"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35" name="menu"/>
          <xdr:cNvSpPr/>
        </xdr:nvSpPr>
        <xdr:spPr>
          <a:xfrm>
            <a:off x="8674537"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4. Thermal Mass Calculator</a:t>
            </a:r>
          </a:p>
        </xdr:txBody>
      </xdr:sp>
      <xdr:sp macro="[0]!menu5" textlink="">
        <xdr:nvSpPr>
          <xdr:cNvPr id="36"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37"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38"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twoCellAnchor editAs="oneCell">
    <xdr:from>
      <xdr:col>2</xdr:col>
      <xdr:colOff>0</xdr:colOff>
      <xdr:row>3</xdr:row>
      <xdr:rowOff>0</xdr:rowOff>
    </xdr:from>
    <xdr:to>
      <xdr:col>6</xdr:col>
      <xdr:colOff>7620</xdr:colOff>
      <xdr:row>11</xdr:row>
      <xdr:rowOff>175260</xdr:rowOff>
    </xdr:to>
    <xdr:pic>
      <xdr:nvPicPr>
        <xdr:cNvPr id="39"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 y="1584960"/>
          <a:ext cx="6294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0</xdr:rowOff>
    </xdr:from>
    <xdr:to>
      <xdr:col>8</xdr:col>
      <xdr:colOff>91440</xdr:colOff>
      <xdr:row>16</xdr:row>
      <xdr:rowOff>45720</xdr:rowOff>
    </xdr:to>
    <xdr:grpSp>
      <xdr:nvGrpSpPr>
        <xdr:cNvPr id="40" name="Group 39"/>
        <xdr:cNvGrpSpPr/>
      </xdr:nvGrpSpPr>
      <xdr:grpSpPr>
        <a:xfrm>
          <a:off x="502920" y="3611880"/>
          <a:ext cx="8282940" cy="411480"/>
          <a:chOff x="4480560" y="784860"/>
          <a:chExt cx="8282940" cy="464820"/>
        </a:xfrm>
      </xdr:grpSpPr>
      <xdr:sp macro="[0]!menu0" textlink="">
        <xdr:nvSpPr>
          <xdr:cNvPr id="41"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42"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43"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44"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45" name="menu"/>
          <xdr:cNvSpPr/>
        </xdr:nvSpPr>
        <xdr:spPr>
          <a:xfrm>
            <a:off x="8674537"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4. Thermal Mass Calculator</a:t>
            </a:r>
          </a:p>
        </xdr:txBody>
      </xdr:sp>
      <xdr:sp macro="[0]!menu5" textlink="">
        <xdr:nvSpPr>
          <xdr:cNvPr id="46"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47"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48"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7620</xdr:colOff>
      <xdr:row>32</xdr:row>
      <xdr:rowOff>38100</xdr:rowOff>
    </xdr:to>
    <xdr:pic>
      <xdr:nvPicPr>
        <xdr:cNvPr id="31" name="Picture 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 y="1226820"/>
          <a:ext cx="15476220" cy="6035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133293</xdr:colOff>
      <xdr:row>2</xdr:row>
      <xdr:rowOff>167640</xdr:rowOff>
    </xdr:from>
    <xdr:to>
      <xdr:col>8</xdr:col>
      <xdr:colOff>281940</xdr:colOff>
      <xdr:row>11</xdr:row>
      <xdr:rowOff>167640</xdr:rowOff>
    </xdr:to>
    <xdr:pic>
      <xdr:nvPicPr>
        <xdr:cNvPr id="3" name="PP FLUO CFL" descr="Image result for Compact Fluorescent" hidden="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6033" y="1394460"/>
          <a:ext cx="2274627" cy="1828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absolute">
    <xdr:from>
      <xdr:col>6</xdr:col>
      <xdr:colOff>487680</xdr:colOff>
      <xdr:row>3</xdr:row>
      <xdr:rowOff>15240</xdr:rowOff>
    </xdr:from>
    <xdr:to>
      <xdr:col>11</xdr:col>
      <xdr:colOff>240728</xdr:colOff>
      <xdr:row>11</xdr:row>
      <xdr:rowOff>198120</xdr:rowOff>
    </xdr:to>
    <xdr:pic>
      <xdr:nvPicPr>
        <xdr:cNvPr id="4" name="PP FLUO T5" descr="Image result for t5 Fluorescent grow light" hidden="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0420" y="1424940"/>
          <a:ext cx="3494468" cy="1828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absolute">
    <xdr:from>
      <xdr:col>7</xdr:col>
      <xdr:colOff>79624</xdr:colOff>
      <xdr:row>2</xdr:row>
      <xdr:rowOff>167640</xdr:rowOff>
    </xdr:from>
    <xdr:to>
      <xdr:col>8</xdr:col>
      <xdr:colOff>541020</xdr:colOff>
      <xdr:row>11</xdr:row>
      <xdr:rowOff>167640</xdr:rowOff>
    </xdr:to>
    <xdr:pic>
      <xdr:nvPicPr>
        <xdr:cNvPr id="6" name="PP SODIUM" descr="Image result for hid high pressure sodium lamp" hidden="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09124" y="1394460"/>
          <a:ext cx="1840616" cy="1828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absolute">
    <xdr:from>
      <xdr:col>6</xdr:col>
      <xdr:colOff>434340</xdr:colOff>
      <xdr:row>2</xdr:row>
      <xdr:rowOff>129540</xdr:rowOff>
    </xdr:from>
    <xdr:to>
      <xdr:col>8</xdr:col>
      <xdr:colOff>373379</xdr:colOff>
      <xdr:row>11</xdr:row>
      <xdr:rowOff>129540</xdr:rowOff>
    </xdr:to>
    <xdr:pic>
      <xdr:nvPicPr>
        <xdr:cNvPr id="5" name="PP HID" descr="Image result for hid metal halide" hidden="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17080" y="1356360"/>
          <a:ext cx="2065019" cy="1828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absolute">
    <xdr:from>
      <xdr:col>6</xdr:col>
      <xdr:colOff>413091</xdr:colOff>
      <xdr:row>3</xdr:row>
      <xdr:rowOff>0</xdr:rowOff>
    </xdr:from>
    <xdr:to>
      <xdr:col>10</xdr:col>
      <xdr:colOff>15240</xdr:colOff>
      <xdr:row>11</xdr:row>
      <xdr:rowOff>182880</xdr:rowOff>
    </xdr:to>
    <xdr:pic>
      <xdr:nvPicPr>
        <xdr:cNvPr id="7" name="PP LED" descr="Image result for LED grow light" hidden="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095831" y="1409700"/>
          <a:ext cx="2962569" cy="1828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1</xdr:col>
      <xdr:colOff>76200</xdr:colOff>
      <xdr:row>1</xdr:row>
      <xdr:rowOff>68580</xdr:rowOff>
    </xdr:from>
    <xdr:to>
      <xdr:col>3</xdr:col>
      <xdr:colOff>323876</xdr:colOff>
      <xdr:row>1</xdr:row>
      <xdr:rowOff>754380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579120" y="259080"/>
          <a:ext cx="1017296" cy="685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xdr:col>
      <xdr:colOff>0</xdr:colOff>
      <xdr:row>2</xdr:row>
      <xdr:rowOff>30480</xdr:rowOff>
    </xdr:from>
    <xdr:to>
      <xdr:col>2</xdr:col>
      <xdr:colOff>121920</xdr:colOff>
      <xdr:row>3</xdr:row>
      <xdr:rowOff>53340</xdr:rowOff>
    </xdr:to>
    <xdr:sp macro="[0]!_xludf.help" textlink="">
      <xdr:nvSpPr>
        <xdr:cNvPr id="12" name="Rounded Rectangle 11"/>
        <xdr:cNvSpPr/>
      </xdr:nvSpPr>
      <xdr:spPr>
        <a:xfrm>
          <a:off x="502920" y="1257300"/>
          <a:ext cx="731520" cy="213360"/>
        </a:xfrm>
        <a:prstGeom prst="roundRect">
          <a:avLst/>
        </a:prstGeom>
        <a:solidFill>
          <a:srgbClr val="9EA32C"/>
        </a:solidFill>
        <a:ln>
          <a:solidFill>
            <a:srgbClr val="757921"/>
          </a:solidFill>
        </a:ln>
        <a:effectLst>
          <a:reflection blurRad="6350" stA="50000" endA="300" endPos="5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rPr>
            <a:t>&gt;HELP</a:t>
          </a:r>
        </a:p>
      </xdr:txBody>
    </xdr:sp>
    <xdr:clientData/>
  </xdr:twoCellAnchor>
  <xdr:twoCellAnchor>
    <xdr:from>
      <xdr:col>1</xdr:col>
      <xdr:colOff>264359</xdr:colOff>
      <xdr:row>7</xdr:row>
      <xdr:rowOff>27802</xdr:rowOff>
    </xdr:from>
    <xdr:to>
      <xdr:col>5</xdr:col>
      <xdr:colOff>295364</xdr:colOff>
      <xdr:row>14</xdr:row>
      <xdr:rowOff>7304</xdr:rowOff>
    </xdr:to>
    <xdr:grpSp>
      <xdr:nvGrpSpPr>
        <xdr:cNvPr id="13" name="HELP1" hidden="1"/>
        <xdr:cNvGrpSpPr/>
      </xdr:nvGrpSpPr>
      <xdr:grpSpPr>
        <a:xfrm>
          <a:off x="767279" y="2351902"/>
          <a:ext cx="3802905" cy="1579702"/>
          <a:chOff x="9711845" y="1797833"/>
          <a:chExt cx="2660150" cy="1130170"/>
        </a:xfrm>
      </xdr:grpSpPr>
      <xdr:sp macro="" textlink="">
        <xdr:nvSpPr>
          <xdr:cNvPr id="14" name="Arc 13" hidden="1"/>
          <xdr:cNvSpPr/>
        </xdr:nvSpPr>
        <xdr:spPr>
          <a:xfrm rot="8200476">
            <a:off x="11246676" y="1797833"/>
            <a:ext cx="1125319" cy="839433"/>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5" name="Rounded Rectangle 14" hidden="1">
            <a:hlinkClick xmlns:r="http://schemas.openxmlformats.org/officeDocument/2006/relationships" r:id="rId9"/>
          </xdr:cNvPr>
          <xdr:cNvSpPr/>
        </xdr:nvSpPr>
        <xdr:spPr>
          <a:xfrm>
            <a:off x="9711845" y="2383534"/>
            <a:ext cx="2132418" cy="544469"/>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For assistance using this tool please visit www.vergepermaculture.ca/greenhousetool where you will find a series of tutorials. The tutorial videos will cover how to fill in all aspects of the tool. </a:t>
            </a:r>
          </a:p>
        </xdr:txBody>
      </xdr:sp>
    </xdr:grpSp>
    <xdr:clientData/>
  </xdr:twoCellAnchor>
  <xdr:twoCellAnchor>
    <xdr:from>
      <xdr:col>1</xdr:col>
      <xdr:colOff>0</xdr:colOff>
      <xdr:row>32</xdr:row>
      <xdr:rowOff>0</xdr:rowOff>
    </xdr:from>
    <xdr:to>
      <xdr:col>7</xdr:col>
      <xdr:colOff>1356360</xdr:colOff>
      <xdr:row>34</xdr:row>
      <xdr:rowOff>45720</xdr:rowOff>
    </xdr:to>
    <xdr:grpSp>
      <xdr:nvGrpSpPr>
        <xdr:cNvPr id="16" name="Group 15"/>
        <xdr:cNvGrpSpPr/>
      </xdr:nvGrpSpPr>
      <xdr:grpSpPr>
        <a:xfrm>
          <a:off x="502920" y="7223760"/>
          <a:ext cx="8282940" cy="411480"/>
          <a:chOff x="4480560" y="784860"/>
          <a:chExt cx="8282940" cy="464820"/>
        </a:xfrm>
      </xdr:grpSpPr>
      <xdr:sp macro="[0]!menu0" textlink="">
        <xdr:nvSpPr>
          <xdr:cNvPr id="17"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18"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19"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20"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21" name="menu"/>
          <xdr:cNvSpPr/>
        </xdr:nvSpPr>
        <xdr:spPr>
          <a:xfrm>
            <a:off x="867453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4. Thermal Mass Calculator</a:t>
            </a:r>
          </a:p>
        </xdr:txBody>
      </xdr:sp>
      <xdr:sp macro="[0]!menu5" textlink="">
        <xdr:nvSpPr>
          <xdr:cNvPr id="22" name="menu"/>
          <xdr:cNvSpPr/>
        </xdr:nvSpPr>
        <xdr:spPr>
          <a:xfrm>
            <a:off x="9724672"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5. Light Design</a:t>
            </a:r>
          </a:p>
        </xdr:txBody>
      </xdr:sp>
      <xdr:sp macro="[0]!menu6" textlink="">
        <xdr:nvSpPr>
          <xdr:cNvPr id="23" name="menu"/>
          <xdr:cNvSpPr/>
        </xdr:nvSpPr>
        <xdr:spPr>
          <a:xfrm>
            <a:off x="10768243"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6. SH&amp;C</a:t>
            </a:r>
            <a:r>
              <a:rPr lang="en-US" sz="900" b="1" baseline="0">
                <a:solidFill>
                  <a:srgbClr val="9EA32C"/>
                </a:solidFill>
              </a:rPr>
              <a:t> Design</a:t>
            </a:r>
            <a:endParaRPr lang="en-US" sz="900" b="1">
              <a:solidFill>
                <a:srgbClr val="9EA32C"/>
              </a:solidFill>
            </a:endParaRPr>
          </a:p>
        </xdr:txBody>
      </xdr:sp>
      <xdr:sp macro="[0]!menu7" textlink="">
        <xdr:nvSpPr>
          <xdr:cNvPr id="24"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twoCellAnchor>
    <xdr:from>
      <xdr:col>1</xdr:col>
      <xdr:colOff>264359</xdr:colOff>
      <xdr:row>7</xdr:row>
      <xdr:rowOff>27802</xdr:rowOff>
    </xdr:from>
    <xdr:to>
      <xdr:col>5</xdr:col>
      <xdr:colOff>295364</xdr:colOff>
      <xdr:row>14</xdr:row>
      <xdr:rowOff>7304</xdr:rowOff>
    </xdr:to>
    <xdr:grpSp>
      <xdr:nvGrpSpPr>
        <xdr:cNvPr id="32" name="HELP1" hidden="1"/>
        <xdr:cNvGrpSpPr/>
      </xdr:nvGrpSpPr>
      <xdr:grpSpPr>
        <a:xfrm>
          <a:off x="767279" y="2351902"/>
          <a:ext cx="3802905" cy="1579702"/>
          <a:chOff x="9711845" y="1797833"/>
          <a:chExt cx="2660150" cy="1130170"/>
        </a:xfrm>
      </xdr:grpSpPr>
      <xdr:sp macro="" textlink="">
        <xdr:nvSpPr>
          <xdr:cNvPr id="33" name="Arc 32" hidden="1"/>
          <xdr:cNvSpPr/>
        </xdr:nvSpPr>
        <xdr:spPr>
          <a:xfrm rot="8200476">
            <a:off x="11246676" y="1797833"/>
            <a:ext cx="1125319" cy="839433"/>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4" name="Rounded Rectangle 33" hidden="1">
            <a:hlinkClick xmlns:r="http://schemas.openxmlformats.org/officeDocument/2006/relationships" r:id="rId9"/>
          </xdr:cNvPr>
          <xdr:cNvSpPr/>
        </xdr:nvSpPr>
        <xdr:spPr>
          <a:xfrm>
            <a:off x="9711845" y="2383534"/>
            <a:ext cx="2132418" cy="544469"/>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For assistance using this tool please visit www.vergepermaculture.ca/greenhousetool where you will find a series of tutorials. The tutorial videos will cover how to fill in all aspects of the tool. </a:t>
            </a:r>
          </a:p>
        </xdr:txBody>
      </xdr:sp>
    </xdr:grpSp>
    <xdr:clientData/>
  </xdr:twoCellAnchor>
  <xdr:twoCellAnchor>
    <xdr:from>
      <xdr:col>1</xdr:col>
      <xdr:colOff>264359</xdr:colOff>
      <xdr:row>7</xdr:row>
      <xdr:rowOff>27802</xdr:rowOff>
    </xdr:from>
    <xdr:to>
      <xdr:col>5</xdr:col>
      <xdr:colOff>295364</xdr:colOff>
      <xdr:row>14</xdr:row>
      <xdr:rowOff>7304</xdr:rowOff>
    </xdr:to>
    <xdr:grpSp>
      <xdr:nvGrpSpPr>
        <xdr:cNvPr id="35" name="HELP1" hidden="1"/>
        <xdr:cNvGrpSpPr/>
      </xdr:nvGrpSpPr>
      <xdr:grpSpPr>
        <a:xfrm>
          <a:off x="767279" y="2351902"/>
          <a:ext cx="3802905" cy="1579702"/>
          <a:chOff x="9711845" y="1797833"/>
          <a:chExt cx="2660150" cy="1130170"/>
        </a:xfrm>
      </xdr:grpSpPr>
      <xdr:sp macro="" textlink="">
        <xdr:nvSpPr>
          <xdr:cNvPr id="36" name="Arc 35" hidden="1"/>
          <xdr:cNvSpPr/>
        </xdr:nvSpPr>
        <xdr:spPr>
          <a:xfrm rot="8200476">
            <a:off x="11246676" y="1797833"/>
            <a:ext cx="1125319" cy="839433"/>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7" name="Rounded Rectangle 36" hidden="1">
            <a:hlinkClick xmlns:r="http://schemas.openxmlformats.org/officeDocument/2006/relationships" r:id="rId9"/>
          </xdr:cNvPr>
          <xdr:cNvSpPr/>
        </xdr:nvSpPr>
        <xdr:spPr>
          <a:xfrm>
            <a:off x="9711845" y="2383534"/>
            <a:ext cx="2132418" cy="544469"/>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For assistance using this tool please visit www.vergepermaculture.ca/greenhousetool where you will find a series of tutorials. The tutorial videos will cover how to fill in all aspects of the tool. </a:t>
            </a:r>
          </a:p>
        </xdr:txBody>
      </xdr:sp>
    </xdr:grpSp>
    <xdr:clientData/>
  </xdr:twoCellAnchor>
  <xdr:twoCellAnchor>
    <xdr:from>
      <xdr:col>1</xdr:col>
      <xdr:colOff>264359</xdr:colOff>
      <xdr:row>7</xdr:row>
      <xdr:rowOff>27802</xdr:rowOff>
    </xdr:from>
    <xdr:to>
      <xdr:col>5</xdr:col>
      <xdr:colOff>295364</xdr:colOff>
      <xdr:row>14</xdr:row>
      <xdr:rowOff>7304</xdr:rowOff>
    </xdr:to>
    <xdr:grpSp>
      <xdr:nvGrpSpPr>
        <xdr:cNvPr id="38" name="HELP1" hidden="1"/>
        <xdr:cNvGrpSpPr/>
      </xdr:nvGrpSpPr>
      <xdr:grpSpPr>
        <a:xfrm>
          <a:off x="767279" y="2351902"/>
          <a:ext cx="3802905" cy="1579702"/>
          <a:chOff x="9711845" y="1797833"/>
          <a:chExt cx="2660150" cy="1130170"/>
        </a:xfrm>
      </xdr:grpSpPr>
      <xdr:sp macro="" textlink="">
        <xdr:nvSpPr>
          <xdr:cNvPr id="39" name="Arc 38" hidden="1"/>
          <xdr:cNvSpPr/>
        </xdr:nvSpPr>
        <xdr:spPr>
          <a:xfrm rot="8200476">
            <a:off x="11246676" y="1797833"/>
            <a:ext cx="1125319" cy="839433"/>
          </a:xfrm>
          <a:prstGeom prst="arc">
            <a:avLst/>
          </a:prstGeom>
          <a:ln w="1905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40" name="Rounded Rectangle 39" hidden="1">
            <a:hlinkClick xmlns:r="http://schemas.openxmlformats.org/officeDocument/2006/relationships" r:id="rId9"/>
          </xdr:cNvPr>
          <xdr:cNvSpPr/>
        </xdr:nvSpPr>
        <xdr:spPr>
          <a:xfrm>
            <a:off x="9711845" y="2383534"/>
            <a:ext cx="2132418" cy="544469"/>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rgbClr val="FF0000"/>
                </a:solidFill>
              </a:rPr>
              <a:t>For assistance using this tool please visit www.vergepermaculture.ca/greenhousetool where you will find a series of tutorials. The tutorial videos will cover how to fill in all aspects of the tool. </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137160</xdr:colOff>
      <xdr:row>24</xdr:row>
      <xdr:rowOff>22860</xdr:rowOff>
    </xdr:to>
    <xdr:pic>
      <xdr:nvPicPr>
        <xdr:cNvPr id="14" name="Picture 1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9353" b="18302"/>
        <a:stretch/>
      </xdr:blipFill>
      <xdr:spPr bwMode="auto">
        <a:xfrm>
          <a:off x="502920" y="1409700"/>
          <a:ext cx="10561320" cy="520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xdr:colOff>
      <xdr:row>1</xdr:row>
      <xdr:rowOff>68580</xdr:rowOff>
    </xdr:from>
    <xdr:to>
      <xdr:col>2</xdr:col>
      <xdr:colOff>712496</xdr:colOff>
      <xdr:row>1</xdr:row>
      <xdr:rowOff>754380</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86740" y="259080"/>
          <a:ext cx="1017296" cy="685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2</xdr:col>
      <xdr:colOff>0</xdr:colOff>
      <xdr:row>26</xdr:row>
      <xdr:rowOff>0</xdr:rowOff>
    </xdr:from>
    <xdr:to>
      <xdr:col>6</xdr:col>
      <xdr:colOff>1394460</xdr:colOff>
      <xdr:row>28</xdr:row>
      <xdr:rowOff>45720</xdr:rowOff>
    </xdr:to>
    <xdr:grpSp>
      <xdr:nvGrpSpPr>
        <xdr:cNvPr id="4" name="Group 3"/>
        <xdr:cNvGrpSpPr/>
      </xdr:nvGrpSpPr>
      <xdr:grpSpPr>
        <a:xfrm>
          <a:off x="891540" y="6957060"/>
          <a:ext cx="8282940" cy="411480"/>
          <a:chOff x="4480560" y="784860"/>
          <a:chExt cx="8282940" cy="464820"/>
        </a:xfrm>
      </xdr:grpSpPr>
      <xdr:sp macro="[0]!menu0" textlink="">
        <xdr:nvSpPr>
          <xdr:cNvPr id="5" name="menu"/>
          <xdr:cNvSpPr/>
        </xdr:nvSpPr>
        <xdr:spPr>
          <a:xfrm>
            <a:off x="4480560"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sp macro="[0]!menu1" textlink="">
        <xdr:nvSpPr>
          <xdr:cNvPr id="6" name="menu"/>
          <xdr:cNvSpPr/>
        </xdr:nvSpPr>
        <xdr:spPr>
          <a:xfrm>
            <a:off x="552413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sp macro="[0]!menu2" textlink="">
        <xdr:nvSpPr>
          <xdr:cNvPr id="7" name="menu"/>
          <xdr:cNvSpPr/>
        </xdr:nvSpPr>
        <xdr:spPr>
          <a:xfrm>
            <a:off x="657426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sp macro="[0]!menu3" textlink="">
        <xdr:nvSpPr>
          <xdr:cNvPr id="9" name="menu"/>
          <xdr:cNvSpPr/>
        </xdr:nvSpPr>
        <xdr:spPr>
          <a:xfrm>
            <a:off x="762440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sp macro="[0]!menu4" textlink="">
        <xdr:nvSpPr>
          <xdr:cNvPr id="10" name="menu"/>
          <xdr:cNvSpPr/>
        </xdr:nvSpPr>
        <xdr:spPr>
          <a:xfrm>
            <a:off x="8674537"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4. Thermal Mass Calculator</a:t>
            </a:r>
          </a:p>
        </xdr:txBody>
      </xdr:sp>
      <xdr:sp macro="[0]!menu5" textlink="">
        <xdr:nvSpPr>
          <xdr:cNvPr id="11" name="menu"/>
          <xdr:cNvSpPr/>
        </xdr:nvSpPr>
        <xdr:spPr>
          <a:xfrm>
            <a:off x="9724672"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sp macro="[0]!menu6" textlink="">
        <xdr:nvSpPr>
          <xdr:cNvPr id="12" name="menu"/>
          <xdr:cNvSpPr/>
        </xdr:nvSpPr>
        <xdr:spPr>
          <a:xfrm>
            <a:off x="10768243" y="784860"/>
            <a:ext cx="945122" cy="46482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6. SH&amp;C Design</a:t>
            </a:r>
          </a:p>
        </xdr:txBody>
      </xdr:sp>
      <xdr:sp macro="[0]!menu7" textlink="">
        <xdr:nvSpPr>
          <xdr:cNvPr id="13" name="menu"/>
          <xdr:cNvSpPr/>
        </xdr:nvSpPr>
        <xdr:spPr>
          <a:xfrm>
            <a:off x="11818378" y="784860"/>
            <a:ext cx="945122" cy="46482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7620</xdr:colOff>
      <xdr:row>38</xdr:row>
      <xdr:rowOff>7620</xdr:rowOff>
    </xdr:to>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 y="182880"/>
          <a:ext cx="12603480" cy="6957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39</xdr:row>
      <xdr:rowOff>137160</xdr:rowOff>
    </xdr:from>
    <xdr:to>
      <xdr:col>4</xdr:col>
      <xdr:colOff>640322</xdr:colOff>
      <xdr:row>42</xdr:row>
      <xdr:rowOff>0</xdr:rowOff>
    </xdr:to>
    <xdr:sp macro="[0]!menu0" textlink="">
      <xdr:nvSpPr>
        <xdr:cNvPr id="15" name="menu"/>
        <xdr:cNvSpPr/>
      </xdr:nvSpPr>
      <xdr:spPr>
        <a:xfrm>
          <a:off x="800100" y="7452360"/>
          <a:ext cx="945122" cy="41148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Menu</a:t>
          </a:r>
        </a:p>
      </xdr:txBody>
    </xdr:sp>
    <xdr:clientData/>
  </xdr:twoCellAnchor>
  <xdr:twoCellAnchor>
    <xdr:from>
      <xdr:col>4</xdr:col>
      <xdr:colOff>738772</xdr:colOff>
      <xdr:row>39</xdr:row>
      <xdr:rowOff>137160</xdr:rowOff>
    </xdr:from>
    <xdr:to>
      <xdr:col>4</xdr:col>
      <xdr:colOff>1683894</xdr:colOff>
      <xdr:row>42</xdr:row>
      <xdr:rowOff>0</xdr:rowOff>
    </xdr:to>
    <xdr:sp macro="[0]!menu1" textlink="">
      <xdr:nvSpPr>
        <xdr:cNvPr id="16" name="menu"/>
        <xdr:cNvSpPr/>
      </xdr:nvSpPr>
      <xdr:spPr>
        <a:xfrm>
          <a:off x="1843672" y="7452360"/>
          <a:ext cx="945122" cy="41148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1. Climate Data</a:t>
          </a:r>
        </a:p>
      </xdr:txBody>
    </xdr:sp>
    <xdr:clientData/>
  </xdr:twoCellAnchor>
  <xdr:twoCellAnchor>
    <xdr:from>
      <xdr:col>4</xdr:col>
      <xdr:colOff>1788907</xdr:colOff>
      <xdr:row>39</xdr:row>
      <xdr:rowOff>137160</xdr:rowOff>
    </xdr:from>
    <xdr:to>
      <xdr:col>4</xdr:col>
      <xdr:colOff>2734029</xdr:colOff>
      <xdr:row>42</xdr:row>
      <xdr:rowOff>0</xdr:rowOff>
    </xdr:to>
    <xdr:sp macro="[0]!menu2" textlink="">
      <xdr:nvSpPr>
        <xdr:cNvPr id="17" name="menu"/>
        <xdr:cNvSpPr/>
      </xdr:nvSpPr>
      <xdr:spPr>
        <a:xfrm>
          <a:off x="2893807" y="7452360"/>
          <a:ext cx="945122" cy="41148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2. Energy</a:t>
          </a:r>
          <a:r>
            <a:rPr lang="en-US" sz="900" b="1" baseline="0">
              <a:solidFill>
                <a:srgbClr val="9EA32C"/>
              </a:solidFill>
            </a:rPr>
            <a:t> Consumption</a:t>
          </a:r>
          <a:endParaRPr lang="en-US" sz="900" b="1">
            <a:solidFill>
              <a:srgbClr val="9EA32C"/>
            </a:solidFill>
          </a:endParaRPr>
        </a:p>
      </xdr:txBody>
    </xdr:sp>
    <xdr:clientData/>
  </xdr:twoCellAnchor>
  <xdr:twoCellAnchor>
    <xdr:from>
      <xdr:col>5</xdr:col>
      <xdr:colOff>103462</xdr:colOff>
      <xdr:row>39</xdr:row>
      <xdr:rowOff>137160</xdr:rowOff>
    </xdr:from>
    <xdr:to>
      <xdr:col>5</xdr:col>
      <xdr:colOff>1048584</xdr:colOff>
      <xdr:row>42</xdr:row>
      <xdr:rowOff>0</xdr:rowOff>
    </xdr:to>
    <xdr:sp macro="[0]!menu3" textlink="">
      <xdr:nvSpPr>
        <xdr:cNvPr id="18" name="menu"/>
        <xdr:cNvSpPr/>
      </xdr:nvSpPr>
      <xdr:spPr>
        <a:xfrm>
          <a:off x="3943942" y="7452360"/>
          <a:ext cx="945122" cy="41148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3. Heat Loss &amp; Cost</a:t>
          </a:r>
        </a:p>
      </xdr:txBody>
    </xdr:sp>
    <xdr:clientData/>
  </xdr:twoCellAnchor>
  <xdr:twoCellAnchor>
    <xdr:from>
      <xdr:col>6</xdr:col>
      <xdr:colOff>86797</xdr:colOff>
      <xdr:row>39</xdr:row>
      <xdr:rowOff>137160</xdr:rowOff>
    </xdr:from>
    <xdr:to>
      <xdr:col>6</xdr:col>
      <xdr:colOff>1031919</xdr:colOff>
      <xdr:row>42</xdr:row>
      <xdr:rowOff>0</xdr:rowOff>
    </xdr:to>
    <xdr:sp macro="[0]!menu4" textlink="">
      <xdr:nvSpPr>
        <xdr:cNvPr id="19" name="menu"/>
        <xdr:cNvSpPr/>
      </xdr:nvSpPr>
      <xdr:spPr>
        <a:xfrm>
          <a:off x="4994077" y="7452360"/>
          <a:ext cx="945122" cy="41148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4. Thermal Mass Calculator</a:t>
          </a:r>
        </a:p>
      </xdr:txBody>
    </xdr:sp>
    <xdr:clientData/>
  </xdr:twoCellAnchor>
  <xdr:twoCellAnchor>
    <xdr:from>
      <xdr:col>6</xdr:col>
      <xdr:colOff>1136932</xdr:colOff>
      <xdr:row>39</xdr:row>
      <xdr:rowOff>137160</xdr:rowOff>
    </xdr:from>
    <xdr:to>
      <xdr:col>7</xdr:col>
      <xdr:colOff>839994</xdr:colOff>
      <xdr:row>42</xdr:row>
      <xdr:rowOff>0</xdr:rowOff>
    </xdr:to>
    <xdr:sp macro="[0]!menu5" textlink="">
      <xdr:nvSpPr>
        <xdr:cNvPr id="20" name="menu"/>
        <xdr:cNvSpPr/>
      </xdr:nvSpPr>
      <xdr:spPr>
        <a:xfrm>
          <a:off x="6044212" y="7452360"/>
          <a:ext cx="945122" cy="41148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en-US" sz="900" b="1">
              <a:solidFill>
                <a:srgbClr val="9EA32C"/>
              </a:solidFill>
            </a:rPr>
            <a:t>5. Light Design</a:t>
          </a:r>
        </a:p>
      </xdr:txBody>
    </xdr:sp>
    <xdr:clientData/>
  </xdr:twoCellAnchor>
  <xdr:twoCellAnchor>
    <xdr:from>
      <xdr:col>7</xdr:col>
      <xdr:colOff>938443</xdr:colOff>
      <xdr:row>39</xdr:row>
      <xdr:rowOff>137160</xdr:rowOff>
    </xdr:from>
    <xdr:to>
      <xdr:col>9</xdr:col>
      <xdr:colOff>169065</xdr:colOff>
      <xdr:row>42</xdr:row>
      <xdr:rowOff>0</xdr:rowOff>
    </xdr:to>
    <xdr:sp macro="[0]!menu6" textlink="">
      <xdr:nvSpPr>
        <xdr:cNvPr id="21" name="menu"/>
        <xdr:cNvSpPr/>
      </xdr:nvSpPr>
      <xdr:spPr>
        <a:xfrm>
          <a:off x="7087783" y="7452360"/>
          <a:ext cx="945122" cy="411480"/>
        </a:xfrm>
        <a:prstGeom prst="roundRect">
          <a:avLst/>
        </a:prstGeom>
        <a:solidFill>
          <a:srgbClr val="DBDF89"/>
        </a:solidFill>
        <a:ln>
          <a:solidFill>
            <a:srgbClr val="9EA3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9EA32C"/>
              </a:solidFill>
              <a:latin typeface="+mn-lt"/>
              <a:ea typeface="+mn-ea"/>
              <a:cs typeface="+mn-cs"/>
            </a:rPr>
            <a:t>6. SH&amp;C Design</a:t>
          </a:r>
        </a:p>
      </xdr:txBody>
    </xdr:sp>
    <xdr:clientData/>
  </xdr:twoCellAnchor>
  <xdr:twoCellAnchor>
    <xdr:from>
      <xdr:col>10</xdr:col>
      <xdr:colOff>45478</xdr:colOff>
      <xdr:row>39</xdr:row>
      <xdr:rowOff>137160</xdr:rowOff>
    </xdr:from>
    <xdr:to>
      <xdr:col>11</xdr:col>
      <xdr:colOff>685800</xdr:colOff>
      <xdr:row>42</xdr:row>
      <xdr:rowOff>0</xdr:rowOff>
    </xdr:to>
    <xdr:sp macro="[0]!menu7" textlink="">
      <xdr:nvSpPr>
        <xdr:cNvPr id="22" name="menu"/>
        <xdr:cNvSpPr/>
      </xdr:nvSpPr>
      <xdr:spPr>
        <a:xfrm>
          <a:off x="8137918" y="7452360"/>
          <a:ext cx="945122" cy="411480"/>
        </a:xfrm>
        <a:prstGeom prst="roundRect">
          <a:avLst/>
        </a:prstGeom>
        <a:solidFill>
          <a:srgbClr val="9EA32C"/>
        </a:solidFill>
        <a:ln>
          <a:solidFill>
            <a:srgbClr val="DBDF8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marL="0" indent="0" algn="ctr"/>
          <a:r>
            <a:rPr lang="en-US" sz="900" b="1">
              <a:solidFill>
                <a:srgbClr val="DBDF89"/>
              </a:solidFill>
              <a:latin typeface="+mn-lt"/>
              <a:ea typeface="+mn-ea"/>
              <a:cs typeface="+mn-cs"/>
            </a:rPr>
            <a:t>Report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vergepermaculture.ca/ghtool" TargetMode="External"/><Relationship Id="rId1" Type="http://schemas.openxmlformats.org/officeDocument/2006/relationships/hyperlink" Target="http://www.vergepermaculture.ca/ghtoo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vergepermaculture.ca/ghtool" TargetMode="External"/><Relationship Id="rId1" Type="http://schemas.openxmlformats.org/officeDocument/2006/relationships/hyperlink" Target="http://www.vergepermaculture.ca/ghtool" TargetMode="External"/><Relationship Id="rId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vergepermaculture.ca/ghtool" TargetMode="External"/><Relationship Id="rId1" Type="http://schemas.openxmlformats.org/officeDocument/2006/relationships/hyperlink" Target="http://www.vergepermaculture.ca/ghtool" TargetMode="External"/><Relationship Id="rId4"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vergepermaculture.ca/ghtool" TargetMode="External"/><Relationship Id="rId1" Type="http://schemas.openxmlformats.org/officeDocument/2006/relationships/hyperlink" Target="http://www.vergepermaculture.ca/ghtool" TargetMode="External"/><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www.vergepermaculture.ca/ghtool" TargetMode="External"/><Relationship Id="rId1" Type="http://schemas.openxmlformats.org/officeDocument/2006/relationships/hyperlink" Target="http://www.vergepermaculture.ca/ghtoo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3" Type="http://schemas.openxmlformats.org/officeDocument/2006/relationships/hyperlink" Target="http://en.wikipedia.org/wiki/Quercus_stellata" TargetMode="External"/><Relationship Id="rId18" Type="http://schemas.openxmlformats.org/officeDocument/2006/relationships/hyperlink" Target="http://en.wikipedia.org/wiki/Quercus_macrocarpa" TargetMode="External"/><Relationship Id="rId26" Type="http://schemas.openxmlformats.org/officeDocument/2006/relationships/hyperlink" Target="http://en.wikipedia.org/wiki/Acer_nigrum" TargetMode="External"/><Relationship Id="rId39" Type="http://schemas.openxmlformats.org/officeDocument/2006/relationships/hyperlink" Target="http://en.wikipedia.org/wiki/Ulmus_americana" TargetMode="External"/><Relationship Id="rId21" Type="http://schemas.openxmlformats.org/officeDocument/2006/relationships/hyperlink" Target="http://en.wikipedia.org/wiki/Quercus_rubra" TargetMode="External"/><Relationship Id="rId34" Type="http://schemas.openxmlformats.org/officeDocument/2006/relationships/hyperlink" Target="http://en.wikipedia.org/wiki/Juniperus_scopulorum" TargetMode="External"/><Relationship Id="rId42" Type="http://schemas.openxmlformats.org/officeDocument/2006/relationships/hyperlink" Target="http://en.wikipedia.org/wiki/Acer_negundo" TargetMode="External"/><Relationship Id="rId47" Type="http://schemas.openxmlformats.org/officeDocument/2006/relationships/hyperlink" Target="http://en.wikipedia.org/wiki/Douglas_fir" TargetMode="External"/><Relationship Id="rId50" Type="http://schemas.openxmlformats.org/officeDocument/2006/relationships/hyperlink" Target="http://en.wikipedia.org/wiki/Pinus_rigida" TargetMode="External"/><Relationship Id="rId55" Type="http://schemas.openxmlformats.org/officeDocument/2006/relationships/hyperlink" Target="http://en.wikipedia.org/wiki/Catalpa_speciosa" TargetMode="External"/><Relationship Id="rId63" Type="http://schemas.openxmlformats.org/officeDocument/2006/relationships/hyperlink" Target="http://en.wikipedia.org/wiki/Tilia_americana" TargetMode="External"/><Relationship Id="rId68" Type="http://schemas.openxmlformats.org/officeDocument/2006/relationships/hyperlink" Target="http://en.wikipedia.org/wiki/Aesculus_glabra" TargetMode="External"/><Relationship Id="rId7" Type="http://schemas.openxmlformats.org/officeDocument/2006/relationships/hyperlink" Target="http://en.wikipedia.org/wiki/Betula_lenta" TargetMode="External"/><Relationship Id="rId71" Type="http://schemas.openxmlformats.org/officeDocument/2006/relationships/hyperlink" Target="http://en.wikipedia.org/wiki/Thuja_occidentalis" TargetMode="External"/><Relationship Id="rId2" Type="http://schemas.openxmlformats.org/officeDocument/2006/relationships/hyperlink" Target="http://en.wikipedia.org/wiki/Ostrya_virginiana" TargetMode="External"/><Relationship Id="rId16" Type="http://schemas.openxmlformats.org/officeDocument/2006/relationships/hyperlink" Target="http://en.wikipedia.org/wiki/Morus_rubra" TargetMode="External"/><Relationship Id="rId29" Type="http://schemas.openxmlformats.org/officeDocument/2006/relationships/hyperlink" Target="http://en.wikipedia.org/wiki/Acer_rubrum" TargetMode="External"/><Relationship Id="rId1" Type="http://schemas.openxmlformats.org/officeDocument/2006/relationships/hyperlink" Target="http://en.wikipedia.org/wiki/Maclura_pomifera" TargetMode="External"/><Relationship Id="rId6" Type="http://schemas.openxmlformats.org/officeDocument/2006/relationships/hyperlink" Target="http://en.wikipedia.org/wiki/Ilex_opaca" TargetMode="External"/><Relationship Id="rId11" Type="http://schemas.openxmlformats.org/officeDocument/2006/relationships/hyperlink" Target="http://en.wikipedia.org/wiki/Honey_locust" TargetMode="External"/><Relationship Id="rId24" Type="http://schemas.openxmlformats.org/officeDocument/2006/relationships/hyperlink" Target="http://en.wikipedia.org/wiki/Umbellularia" TargetMode="External"/><Relationship Id="rId32" Type="http://schemas.openxmlformats.org/officeDocument/2006/relationships/hyperlink" Target="http://en.wikipedia.org/wiki/Prunus_serotina" TargetMode="External"/><Relationship Id="rId37" Type="http://schemas.openxmlformats.org/officeDocument/2006/relationships/hyperlink" Target="http://en.wikipedia.org/wiki/Ulmus_rubra" TargetMode="External"/><Relationship Id="rId40" Type="http://schemas.openxmlformats.org/officeDocument/2006/relationships/hyperlink" Target="http://en.wikipedia.org/wiki/Eucalyptus_camaldulensis" TargetMode="External"/><Relationship Id="rId45" Type="http://schemas.openxmlformats.org/officeDocument/2006/relationships/hyperlink" Target="http://en.wikipedia.org/wiki/Pinus_resinosa" TargetMode="External"/><Relationship Id="rId53" Type="http://schemas.openxmlformats.org/officeDocument/2006/relationships/hyperlink" Target="http://en.wikipedia.org/wiki/Picea_mariana" TargetMode="External"/><Relationship Id="rId58" Type="http://schemas.openxmlformats.org/officeDocument/2006/relationships/hyperlink" Target="http://en.wikipedia.org/wiki/Picea_sitchensis" TargetMode="External"/><Relationship Id="rId66" Type="http://schemas.openxmlformats.org/officeDocument/2006/relationships/hyperlink" Target="http://en.wikipedia.org/wiki/Pinus_strobus" TargetMode="External"/><Relationship Id="rId5" Type="http://schemas.openxmlformats.org/officeDocument/2006/relationships/hyperlink" Target="http://en.wikipedia.org/wiki/Cornus_nuttallii" TargetMode="External"/><Relationship Id="rId15" Type="http://schemas.openxmlformats.org/officeDocument/2006/relationships/hyperlink" Target="http://en.wikipedia.org/wiki/Acer_saccharum" TargetMode="External"/><Relationship Id="rId23" Type="http://schemas.openxmlformats.org/officeDocument/2006/relationships/hyperlink" Target="http://en.wikipedia.org/wiki/Fraxinus_americana" TargetMode="External"/><Relationship Id="rId28" Type="http://schemas.openxmlformats.org/officeDocument/2006/relationships/hyperlink" Target="http://en.wikipedia.org/wiki/Betula_papyrifera" TargetMode="External"/><Relationship Id="rId36" Type="http://schemas.openxmlformats.org/officeDocument/2006/relationships/hyperlink" Target="http://en.wikipedia.org/wiki/Kentucky_coffeetree" TargetMode="External"/><Relationship Id="rId49" Type="http://schemas.openxmlformats.org/officeDocument/2006/relationships/hyperlink" Target="http://en.wikipedia.org/wiki/Firelog" TargetMode="External"/><Relationship Id="rId57" Type="http://schemas.openxmlformats.org/officeDocument/2006/relationships/hyperlink" Target="http://en.wikipedia.org/wiki/Pinus_ponderosa" TargetMode="External"/><Relationship Id="rId61" Type="http://schemas.openxmlformats.org/officeDocument/2006/relationships/hyperlink" Target="http://en.wikipedia.org/wiki/Willow" TargetMode="External"/><Relationship Id="rId10" Type="http://schemas.openxmlformats.org/officeDocument/2006/relationships/hyperlink" Target="http://en.wikipedia.org/wiki/Carya_cordiformis" TargetMode="External"/><Relationship Id="rId19" Type="http://schemas.openxmlformats.org/officeDocument/2006/relationships/hyperlink" Target="http://en.wikipedia.org/wiki/Quercus_garryana" TargetMode="External"/><Relationship Id="rId31" Type="http://schemas.openxmlformats.org/officeDocument/2006/relationships/hyperlink" Target="http://en.wikipedia.org/wiki/Betula_populifolia" TargetMode="External"/><Relationship Id="rId44" Type="http://schemas.openxmlformats.org/officeDocument/2006/relationships/hyperlink" Target="http://en.wikipedia.org/wiki/Acer_macrophyllum" TargetMode="External"/><Relationship Id="rId52" Type="http://schemas.openxmlformats.org/officeDocument/2006/relationships/hyperlink" Target="http://en.wikipedia.org/wiki/Pinus_contorta" TargetMode="External"/><Relationship Id="rId60" Type="http://schemas.openxmlformats.org/officeDocument/2006/relationships/hyperlink" Target="http://en.wikipedia.org/wiki/Abies_concolor" TargetMode="External"/><Relationship Id="rId65" Type="http://schemas.openxmlformats.org/officeDocument/2006/relationships/hyperlink" Target="http://en.wikipedia.org/wiki/Abies_balsamea" TargetMode="External"/><Relationship Id="rId4" Type="http://schemas.openxmlformats.org/officeDocument/2006/relationships/hyperlink" Target="http://en.wikipedia.org/wiki/Carya_ovata" TargetMode="External"/><Relationship Id="rId9" Type="http://schemas.openxmlformats.org/officeDocument/2006/relationships/hyperlink" Target="http://en.wikipedia.org/wiki/Carpinus_caroliniana" TargetMode="External"/><Relationship Id="rId14" Type="http://schemas.openxmlformats.org/officeDocument/2006/relationships/hyperlink" Target="http://en.wikipedia.org/wiki/Robinia_pseudoacacia" TargetMode="External"/><Relationship Id="rId22" Type="http://schemas.openxmlformats.org/officeDocument/2006/relationships/hyperlink" Target="http://en.wikipedia.org/wiki/Apple" TargetMode="External"/><Relationship Id="rId27" Type="http://schemas.openxmlformats.org/officeDocument/2006/relationships/hyperlink" Target="http://en.wikipedia.org/wiki/Fraxinus_latifolia" TargetMode="External"/><Relationship Id="rId30" Type="http://schemas.openxmlformats.org/officeDocument/2006/relationships/hyperlink" Target="http://en.wikipedia.org/wiki/Juglans_nigra" TargetMode="External"/><Relationship Id="rId35" Type="http://schemas.openxmlformats.org/officeDocument/2006/relationships/hyperlink" Target="http://en.wikipedia.org/wiki/Larix_laricina" TargetMode="External"/><Relationship Id="rId43" Type="http://schemas.openxmlformats.org/officeDocument/2006/relationships/hyperlink" Target="http://en.wikipedia.org/wiki/Ulmus_laevis" TargetMode="External"/><Relationship Id="rId48" Type="http://schemas.openxmlformats.org/officeDocument/2006/relationships/hyperlink" Target="http://en.wikipedia.org/wiki/Acer_saccharinum" TargetMode="External"/><Relationship Id="rId56" Type="http://schemas.openxmlformats.org/officeDocument/2006/relationships/hyperlink" Target="http://en.wikipedia.org/wiki/Jack_pine" TargetMode="External"/><Relationship Id="rId64" Type="http://schemas.openxmlformats.org/officeDocument/2006/relationships/hyperlink" Target="http://en.wikipedia.org/wiki/Juglans_cinerea" TargetMode="External"/><Relationship Id="rId69" Type="http://schemas.openxmlformats.org/officeDocument/2006/relationships/hyperlink" Target="http://en.wikipedia.org/wiki/Juniperus_virginiana" TargetMode="External"/><Relationship Id="rId8" Type="http://schemas.openxmlformats.org/officeDocument/2006/relationships/hyperlink" Target="http://en.wikipedia.org/wiki/Quercus_alba" TargetMode="External"/><Relationship Id="rId51" Type="http://schemas.openxmlformats.org/officeDocument/2006/relationships/hyperlink" Target="http://en.wikipedia.org/wiki/Tsuga" TargetMode="External"/><Relationship Id="rId72" Type="http://schemas.openxmlformats.org/officeDocument/2006/relationships/hyperlink" Target="http://en.wikipedia.org/wiki/Bambusoideae" TargetMode="External"/><Relationship Id="rId3" Type="http://schemas.openxmlformats.org/officeDocument/2006/relationships/hyperlink" Target="http://en.wikipedia.org/wiki/Diospyros_virginiana" TargetMode="External"/><Relationship Id="rId12" Type="http://schemas.openxmlformats.org/officeDocument/2006/relationships/hyperlink" Target="http://en.wikipedia.org/wiki/Arbutus_menziesii" TargetMode="External"/><Relationship Id="rId17" Type="http://schemas.openxmlformats.org/officeDocument/2006/relationships/hyperlink" Target="http://en.wikipedia.org/wiki/Fagus_grandifolia" TargetMode="External"/><Relationship Id="rId25" Type="http://schemas.openxmlformats.org/officeDocument/2006/relationships/hyperlink" Target="http://en.wikipedia.org/wiki/Fraxinus_pennsylvanica" TargetMode="External"/><Relationship Id="rId33" Type="http://schemas.openxmlformats.org/officeDocument/2006/relationships/hyperlink" Target="http://en.wikipedia.org/wiki/Celtis_occidentalis" TargetMode="External"/><Relationship Id="rId38" Type="http://schemas.openxmlformats.org/officeDocument/2006/relationships/hyperlink" Target="http://en.wikipedia.org/wiki/Oxydendrum" TargetMode="External"/><Relationship Id="rId46" Type="http://schemas.openxmlformats.org/officeDocument/2006/relationships/hyperlink" Target="http://en.wikipedia.org/wiki/Platanus_occidentalis" TargetMode="External"/><Relationship Id="rId59" Type="http://schemas.openxmlformats.org/officeDocument/2006/relationships/hyperlink" Target="http://en.wikipedia.org/wiki/Western_white_pine" TargetMode="External"/><Relationship Id="rId67" Type="http://schemas.openxmlformats.org/officeDocument/2006/relationships/hyperlink" Target="http://en.wikipedia.org/wiki/Populus_trichocarpa" TargetMode="External"/><Relationship Id="rId20" Type="http://schemas.openxmlformats.org/officeDocument/2006/relationships/hyperlink" Target="http://en.wikipedia.org/wiki/Betula_alleghaniensis" TargetMode="External"/><Relationship Id="rId41" Type="http://schemas.openxmlformats.org/officeDocument/2006/relationships/hyperlink" Target="http://en.wikipedia.org/wiki/Fraxinus_nigra" TargetMode="External"/><Relationship Id="rId54" Type="http://schemas.openxmlformats.org/officeDocument/2006/relationships/hyperlink" Target="http://en.wikipedia.org/wiki/Alnus_rubra" TargetMode="External"/><Relationship Id="rId62" Type="http://schemas.openxmlformats.org/officeDocument/2006/relationships/hyperlink" Target="http://en.wikipedia.org/wiki/Populus_tremuloides" TargetMode="External"/><Relationship Id="rId70" Type="http://schemas.openxmlformats.org/officeDocument/2006/relationships/hyperlink" Target="http://en.wikipedia.org/wiki/Picea_engelmannii"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vergepermaculture.ca/product/ghtool" TargetMode="External"/><Relationship Id="rId2" Type="http://schemas.openxmlformats.org/officeDocument/2006/relationships/hyperlink" Target="http://www.vergepermaculture.ca/ghtool" TargetMode="External"/><Relationship Id="rId1" Type="http://schemas.openxmlformats.org/officeDocument/2006/relationships/hyperlink" Target="mailto:info@vergepermaculture.ca"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vergepermaculture.ca/ghtoo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degreedays.ne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vergepermaculture.ca/product/ghtoo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sheetPr>
  <dimension ref="A1:B27"/>
  <sheetViews>
    <sheetView workbookViewId="0">
      <selection activeCell="K2" sqref="K2:K501"/>
    </sheetView>
  </sheetViews>
  <sheetFormatPr defaultRowHeight="14.4" x14ac:dyDescent="0.3"/>
  <cols>
    <col min="1" max="1" width="10" style="103" bestFit="1" customWidth="1"/>
    <col min="2" max="2" width="16" style="103" bestFit="1" customWidth="1"/>
    <col min="3" max="16384" width="8.88671875" style="103"/>
  </cols>
  <sheetData>
    <row r="1" spans="1:2" x14ac:dyDescent="0.3">
      <c r="A1" s="104" t="s">
        <v>400</v>
      </c>
      <c r="B1" s="104" t="s">
        <v>427</v>
      </c>
    </row>
    <row r="2" spans="1:2" x14ac:dyDescent="0.3">
      <c r="A2" s="103" t="s">
        <v>401</v>
      </c>
      <c r="B2" s="103">
        <v>-55</v>
      </c>
    </row>
    <row r="3" spans="1:2" x14ac:dyDescent="0.3">
      <c r="A3" s="103" t="s">
        <v>402</v>
      </c>
      <c r="B3" s="103">
        <v>-50</v>
      </c>
    </row>
    <row r="4" spans="1:2" x14ac:dyDescent="0.3">
      <c r="A4" s="103" t="s">
        <v>403</v>
      </c>
      <c r="B4" s="103">
        <v>-45</v>
      </c>
    </row>
    <row r="5" spans="1:2" x14ac:dyDescent="0.3">
      <c r="A5" s="103" t="s">
        <v>404</v>
      </c>
      <c r="B5" s="103">
        <v>-40</v>
      </c>
    </row>
    <row r="6" spans="1:2" x14ac:dyDescent="0.3">
      <c r="A6" s="103" t="s">
        <v>405</v>
      </c>
      <c r="B6" s="103">
        <v>-35</v>
      </c>
    </row>
    <row r="7" spans="1:2" x14ac:dyDescent="0.3">
      <c r="A7" s="103" t="s">
        <v>406</v>
      </c>
      <c r="B7" s="103">
        <v>-30</v>
      </c>
    </row>
    <row r="8" spans="1:2" x14ac:dyDescent="0.3">
      <c r="A8" s="103" t="s">
        <v>407</v>
      </c>
      <c r="B8" s="103">
        <v>-25</v>
      </c>
    </row>
    <row r="9" spans="1:2" x14ac:dyDescent="0.3">
      <c r="A9" s="103" t="s">
        <v>408</v>
      </c>
      <c r="B9" s="103">
        <v>-20</v>
      </c>
    </row>
    <row r="10" spans="1:2" x14ac:dyDescent="0.3">
      <c r="A10" s="103" t="s">
        <v>409</v>
      </c>
      <c r="B10" s="103">
        <v>-15</v>
      </c>
    </row>
    <row r="11" spans="1:2" x14ac:dyDescent="0.3">
      <c r="A11" s="103" t="s">
        <v>410</v>
      </c>
      <c r="B11" s="103">
        <v>-10</v>
      </c>
    </row>
    <row r="12" spans="1:2" x14ac:dyDescent="0.3">
      <c r="A12" s="103" t="s">
        <v>411</v>
      </c>
      <c r="B12" s="103">
        <v>-5</v>
      </c>
    </row>
    <row r="13" spans="1:2" x14ac:dyDescent="0.3">
      <c r="A13" s="103" t="s">
        <v>412</v>
      </c>
      <c r="B13" s="103">
        <v>0</v>
      </c>
    </row>
    <row r="14" spans="1:2" x14ac:dyDescent="0.3">
      <c r="A14" s="103" t="s">
        <v>413</v>
      </c>
      <c r="B14" s="103">
        <v>5</v>
      </c>
    </row>
    <row r="15" spans="1:2" x14ac:dyDescent="0.3">
      <c r="A15" s="103" t="s">
        <v>414</v>
      </c>
      <c r="B15" s="103">
        <v>10</v>
      </c>
    </row>
    <row r="16" spans="1:2" x14ac:dyDescent="0.3">
      <c r="A16" s="103" t="s">
        <v>415</v>
      </c>
      <c r="B16" s="103">
        <v>15</v>
      </c>
    </row>
    <row r="17" spans="1:2" x14ac:dyDescent="0.3">
      <c r="A17" s="103" t="s">
        <v>416</v>
      </c>
      <c r="B17" s="103">
        <v>20</v>
      </c>
    </row>
    <row r="18" spans="1:2" x14ac:dyDescent="0.3">
      <c r="A18" s="103" t="s">
        <v>417</v>
      </c>
      <c r="B18" s="103">
        <v>25</v>
      </c>
    </row>
    <row r="19" spans="1:2" x14ac:dyDescent="0.3">
      <c r="A19" s="103" t="s">
        <v>418</v>
      </c>
      <c r="B19" s="103">
        <v>30</v>
      </c>
    </row>
    <row r="20" spans="1:2" x14ac:dyDescent="0.3">
      <c r="A20" s="103" t="s">
        <v>419</v>
      </c>
      <c r="B20" s="103">
        <v>35</v>
      </c>
    </row>
    <row r="21" spans="1:2" x14ac:dyDescent="0.3">
      <c r="A21" s="103" t="s">
        <v>420</v>
      </c>
      <c r="B21" s="103">
        <v>40</v>
      </c>
    </row>
    <row r="22" spans="1:2" x14ac:dyDescent="0.3">
      <c r="A22" s="103" t="s">
        <v>421</v>
      </c>
      <c r="B22" s="103">
        <v>45</v>
      </c>
    </row>
    <row r="23" spans="1:2" x14ac:dyDescent="0.3">
      <c r="A23" s="103" t="s">
        <v>422</v>
      </c>
      <c r="B23" s="103">
        <v>50</v>
      </c>
    </row>
    <row r="24" spans="1:2" x14ac:dyDescent="0.3">
      <c r="A24" s="103" t="s">
        <v>423</v>
      </c>
      <c r="B24" s="103">
        <v>55</v>
      </c>
    </row>
    <row r="25" spans="1:2" x14ac:dyDescent="0.3">
      <c r="A25" s="103" t="s">
        <v>424</v>
      </c>
      <c r="B25" s="103">
        <v>60</v>
      </c>
    </row>
    <row r="26" spans="1:2" x14ac:dyDescent="0.3">
      <c r="A26" s="103" t="s">
        <v>425</v>
      </c>
      <c r="B26" s="103">
        <v>65</v>
      </c>
    </row>
    <row r="27" spans="1:2" x14ac:dyDescent="0.3">
      <c r="A27" s="103" t="s">
        <v>426</v>
      </c>
      <c r="B27" s="103">
        <v>70</v>
      </c>
    </row>
  </sheetData>
  <sheetProtection password="F31D" sheet="1" objects="1" scenarios="1" formatCells="0" selectLockedCells="1" sort="0" autoFilter="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U44"/>
  <sheetViews>
    <sheetView topLeftCell="B1" workbookViewId="0">
      <selection activeCell="E5" sqref="E5"/>
    </sheetView>
  </sheetViews>
  <sheetFormatPr defaultRowHeight="14.4" x14ac:dyDescent="0.3"/>
  <cols>
    <col min="1" max="1" width="7.33203125" style="108" customWidth="1"/>
    <col min="2" max="2" width="5.109375" style="141" bestFit="1" customWidth="1"/>
    <col min="3" max="3" width="2.44140625" style="108" customWidth="1"/>
    <col min="4" max="4" width="24.5546875" style="108" bestFit="1" customWidth="1"/>
    <col min="5" max="5" width="25" style="108" customWidth="1"/>
    <col min="6" max="6" width="3" style="108" customWidth="1"/>
    <col min="7" max="7" width="21.33203125" style="108" bestFit="1" customWidth="1"/>
    <col min="8" max="8" width="10.6640625" style="108" bestFit="1" customWidth="1"/>
    <col min="9" max="9" width="3.77734375" style="108" customWidth="1"/>
    <col min="10" max="10" width="21.88671875" style="108" customWidth="1"/>
    <col min="11" max="11" width="10.44140625" style="108" bestFit="1" customWidth="1"/>
    <col min="12" max="12" width="0" style="108" hidden="1" customWidth="1"/>
    <col min="13" max="13" width="3.33203125" style="108" customWidth="1"/>
    <col min="14" max="16384" width="8.88671875" style="108"/>
  </cols>
  <sheetData>
    <row r="1" spans="1:21" ht="28.2" customHeight="1" thickBot="1" x14ac:dyDescent="0.35">
      <c r="B1" s="461" t="s">
        <v>588</v>
      </c>
      <c r="C1" s="461"/>
      <c r="D1" s="461"/>
      <c r="E1" s="461"/>
      <c r="F1" s="461"/>
      <c r="G1" s="461"/>
      <c r="H1" s="461"/>
      <c r="I1" s="461"/>
      <c r="J1" s="461"/>
      <c r="K1" s="461"/>
    </row>
    <row r="2" spans="1:21" ht="64.8" customHeight="1" thickBot="1" x14ac:dyDescent="0.35">
      <c r="B2" s="463" t="s">
        <v>555</v>
      </c>
      <c r="C2" s="464"/>
      <c r="D2" s="464"/>
      <c r="E2" s="464"/>
      <c r="F2" s="464"/>
      <c r="G2" s="464"/>
      <c r="H2" s="464"/>
      <c r="I2" s="464"/>
      <c r="J2" s="464"/>
      <c r="K2" s="464"/>
      <c r="L2" s="465"/>
    </row>
    <row r="3" spans="1:21" ht="14.4" customHeight="1" x14ac:dyDescent="0.3">
      <c r="N3" s="439" t="s">
        <v>600</v>
      </c>
      <c r="O3" s="439"/>
      <c r="P3" s="439"/>
      <c r="Q3" s="439"/>
      <c r="R3" s="439"/>
      <c r="S3" s="378"/>
      <c r="T3" s="378"/>
      <c r="U3" s="378"/>
    </row>
    <row r="4" spans="1:21" s="106" customFormat="1" ht="14.4" customHeight="1" x14ac:dyDescent="0.3">
      <c r="A4" s="108"/>
      <c r="B4" s="110"/>
      <c r="D4" s="111"/>
      <c r="E4" s="295"/>
      <c r="F4" s="296"/>
      <c r="N4" s="439"/>
      <c r="O4" s="439"/>
      <c r="P4" s="439"/>
      <c r="Q4" s="439"/>
      <c r="R4" s="439"/>
      <c r="S4" s="378"/>
      <c r="T4" s="378"/>
      <c r="U4" s="378"/>
    </row>
    <row r="5" spans="1:21" s="106" customFormat="1" ht="15.6" customHeight="1" x14ac:dyDescent="0.3">
      <c r="A5" s="108"/>
      <c r="B5" s="110"/>
      <c r="D5" s="111"/>
      <c r="E5" s="297"/>
      <c r="F5" s="139"/>
      <c r="N5" s="440" t="s">
        <v>604</v>
      </c>
      <c r="O5" s="440"/>
      <c r="P5" s="440"/>
      <c r="Q5" s="440"/>
      <c r="R5" s="440"/>
      <c r="S5" s="378"/>
      <c r="T5" s="378"/>
      <c r="U5" s="378"/>
    </row>
    <row r="6" spans="1:21" s="106" customFormat="1" x14ac:dyDescent="0.3">
      <c r="B6" s="110"/>
      <c r="D6" s="111"/>
      <c r="E6" s="139"/>
      <c r="F6" s="139"/>
    </row>
    <row r="7" spans="1:21" s="106" customFormat="1" x14ac:dyDescent="0.3">
      <c r="B7" s="110"/>
      <c r="E7" s="111"/>
      <c r="F7" s="111"/>
      <c r="G7" s="466"/>
      <c r="H7" s="466"/>
      <c r="I7" s="119"/>
      <c r="J7" s="466"/>
      <c r="K7" s="466"/>
    </row>
    <row r="8" spans="1:21" s="106" customFormat="1" x14ac:dyDescent="0.3">
      <c r="A8" s="108"/>
      <c r="B8" s="298"/>
      <c r="E8" s="111"/>
      <c r="F8" s="111"/>
      <c r="G8" s="453"/>
      <c r="H8" s="453"/>
      <c r="I8" s="299"/>
      <c r="J8" s="453"/>
      <c r="K8" s="453"/>
    </row>
    <row r="9" spans="1:21" s="106" customFormat="1" ht="14.4" hidden="1" customHeight="1" x14ac:dyDescent="0.3">
      <c r="A9" s="97"/>
      <c r="E9" s="111"/>
      <c r="F9" s="111"/>
      <c r="G9" s="300"/>
      <c r="H9" s="301"/>
      <c r="I9" s="299"/>
      <c r="J9" s="300"/>
      <c r="K9" s="301"/>
    </row>
    <row r="10" spans="1:21" s="106" customFormat="1" x14ac:dyDescent="0.3">
      <c r="A10" s="108"/>
      <c r="B10" s="271"/>
      <c r="E10" s="111"/>
      <c r="F10" s="111"/>
      <c r="G10" s="457"/>
      <c r="H10" s="458"/>
      <c r="I10" s="302"/>
      <c r="J10" s="454"/>
      <c r="K10" s="454"/>
    </row>
    <row r="11" spans="1:21" s="106" customFormat="1" x14ac:dyDescent="0.3">
      <c r="A11" s="108"/>
      <c r="B11" s="271"/>
      <c r="E11" s="111"/>
      <c r="F11" s="111"/>
      <c r="G11" s="459"/>
      <c r="H11" s="460"/>
      <c r="I11" s="296"/>
      <c r="J11" s="455"/>
      <c r="K11" s="455"/>
      <c r="N11" s="298"/>
    </row>
    <row r="12" spans="1:21" s="106" customFormat="1" x14ac:dyDescent="0.3">
      <c r="A12" s="108"/>
      <c r="B12" s="271"/>
      <c r="E12" s="111"/>
      <c r="F12" s="111"/>
      <c r="G12" s="456"/>
      <c r="H12" s="456"/>
      <c r="I12" s="143"/>
      <c r="J12" s="456"/>
      <c r="K12" s="456"/>
    </row>
    <row r="13" spans="1:21" s="106" customFormat="1" x14ac:dyDescent="0.3">
      <c r="A13" s="108"/>
      <c r="B13" s="271"/>
      <c r="E13" s="111"/>
      <c r="F13" s="111"/>
      <c r="G13" s="143"/>
      <c r="H13" s="143"/>
      <c r="I13" s="143"/>
      <c r="J13" s="143"/>
      <c r="K13" s="143"/>
    </row>
    <row r="14" spans="1:21" s="176" customFormat="1" x14ac:dyDescent="0.3">
      <c r="A14" s="129"/>
      <c r="B14" s="303"/>
      <c r="C14" s="106"/>
      <c r="E14" s="111"/>
      <c r="F14" s="304"/>
      <c r="G14" s="462">
        <v>0.5</v>
      </c>
      <c r="H14" s="462"/>
      <c r="I14" s="144"/>
      <c r="J14" s="305"/>
      <c r="K14" s="305"/>
      <c r="P14" s="306"/>
    </row>
    <row r="15" spans="1:21" s="176" customFormat="1" ht="15.6" customHeight="1" x14ac:dyDescent="0.3">
      <c r="A15" s="129"/>
      <c r="B15" s="303"/>
      <c r="C15" s="106"/>
      <c r="E15" s="304"/>
      <c r="F15" s="304"/>
      <c r="G15" s="144"/>
      <c r="J15" s="296"/>
      <c r="K15" s="307"/>
    </row>
    <row r="16" spans="1:21" s="106" customFormat="1" x14ac:dyDescent="0.3">
      <c r="A16" s="108"/>
      <c r="B16" s="308"/>
      <c r="E16" s="111"/>
      <c r="F16" s="111"/>
      <c r="G16" s="452"/>
      <c r="H16" s="452"/>
      <c r="I16" s="299"/>
      <c r="J16" s="452"/>
      <c r="K16" s="452"/>
    </row>
    <row r="17" spans="1:11" s="106" customFormat="1" x14ac:dyDescent="0.3">
      <c r="A17" s="108"/>
    </row>
    <row r="18" spans="1:11" s="106" customFormat="1" x14ac:dyDescent="0.3">
      <c r="A18" s="108"/>
      <c r="E18" s="309"/>
      <c r="G18" s="310"/>
      <c r="J18" s="310"/>
    </row>
    <row r="19" spans="1:11" s="106" customFormat="1" x14ac:dyDescent="0.3">
      <c r="A19" s="108"/>
      <c r="G19" s="311"/>
      <c r="J19" s="311"/>
    </row>
    <row r="20" spans="1:11" s="312" customFormat="1" x14ac:dyDescent="0.3">
      <c r="A20" s="127"/>
      <c r="B20" s="111"/>
      <c r="D20" s="111"/>
    </row>
    <row r="21" spans="1:11" s="106" customFormat="1" x14ac:dyDescent="0.3">
      <c r="A21" s="108"/>
      <c r="B21" s="115"/>
      <c r="C21" s="115"/>
      <c r="D21" s="313"/>
      <c r="E21" s="310"/>
      <c r="F21" s="310"/>
      <c r="G21" s="314"/>
      <c r="H21" s="315"/>
      <c r="I21" s="315"/>
      <c r="J21" s="314"/>
      <c r="K21" s="315"/>
    </row>
    <row r="22" spans="1:11" s="106" customFormat="1" x14ac:dyDescent="0.3">
      <c r="A22" s="108"/>
      <c r="B22" s="115"/>
      <c r="C22" s="115"/>
      <c r="D22" s="313"/>
      <c r="E22" s="310"/>
      <c r="F22" s="310"/>
      <c r="G22" s="314"/>
      <c r="H22" s="315"/>
      <c r="I22" s="315"/>
      <c r="J22" s="314"/>
      <c r="K22" s="315"/>
    </row>
    <row r="23" spans="1:11" s="106" customFormat="1" x14ac:dyDescent="0.3">
      <c r="A23" s="108"/>
      <c r="B23" s="115"/>
      <c r="C23" s="115"/>
      <c r="D23" s="313"/>
      <c r="E23" s="310"/>
      <c r="F23" s="310"/>
      <c r="G23" s="314"/>
      <c r="H23" s="315"/>
      <c r="I23" s="315"/>
      <c r="J23" s="314"/>
      <c r="K23" s="315"/>
    </row>
    <row r="24" spans="1:11" s="106" customFormat="1" x14ac:dyDescent="0.3">
      <c r="A24" s="108"/>
      <c r="B24" s="115"/>
      <c r="C24" s="115"/>
      <c r="D24" s="313"/>
      <c r="E24" s="310"/>
      <c r="F24" s="310"/>
      <c r="G24" s="314"/>
      <c r="H24" s="315"/>
      <c r="I24" s="315"/>
      <c r="J24" s="314"/>
      <c r="K24" s="315"/>
    </row>
    <row r="25" spans="1:11" s="106" customFormat="1" x14ac:dyDescent="0.3">
      <c r="A25" s="108"/>
      <c r="B25" s="115"/>
      <c r="C25" s="115"/>
      <c r="D25" s="313"/>
      <c r="E25" s="310"/>
      <c r="F25" s="310"/>
      <c r="G25" s="314"/>
      <c r="H25" s="315"/>
      <c r="I25" s="315"/>
      <c r="J25" s="314"/>
      <c r="K25" s="315"/>
    </row>
    <row r="26" spans="1:11" s="106" customFormat="1" x14ac:dyDescent="0.3">
      <c r="A26" s="108"/>
      <c r="B26" s="115"/>
      <c r="C26" s="115"/>
      <c r="D26" s="313"/>
      <c r="E26" s="310"/>
      <c r="F26" s="310"/>
      <c r="G26" s="314"/>
      <c r="H26" s="315"/>
      <c r="I26" s="315"/>
      <c r="J26" s="314"/>
      <c r="K26" s="315"/>
    </row>
    <row r="27" spans="1:11" s="106" customFormat="1" x14ac:dyDescent="0.3">
      <c r="A27" s="108"/>
      <c r="B27" s="115"/>
      <c r="C27" s="115"/>
      <c r="D27" s="313"/>
      <c r="E27" s="310"/>
      <c r="F27" s="310"/>
      <c r="G27" s="314"/>
      <c r="H27" s="315"/>
      <c r="I27" s="315"/>
      <c r="J27" s="314"/>
      <c r="K27" s="315"/>
    </row>
    <row r="28" spans="1:11" s="106" customFormat="1" x14ac:dyDescent="0.3">
      <c r="A28" s="108"/>
      <c r="B28" s="115"/>
      <c r="C28" s="115"/>
      <c r="D28" s="313"/>
      <c r="E28" s="310"/>
      <c r="F28" s="310"/>
      <c r="G28" s="314"/>
      <c r="H28" s="315"/>
      <c r="I28" s="315"/>
      <c r="J28" s="314"/>
      <c r="K28" s="315"/>
    </row>
    <row r="29" spans="1:11" s="106" customFormat="1" x14ac:dyDescent="0.3">
      <c r="A29" s="108"/>
      <c r="B29" s="115"/>
      <c r="C29" s="115"/>
      <c r="D29" s="313"/>
      <c r="E29" s="310"/>
      <c r="F29" s="310"/>
      <c r="G29" s="314"/>
      <c r="H29" s="315"/>
      <c r="I29" s="315"/>
      <c r="J29" s="314"/>
      <c r="K29" s="315"/>
    </row>
    <row r="30" spans="1:11" s="106" customFormat="1" x14ac:dyDescent="0.3">
      <c r="A30" s="108"/>
      <c r="B30" s="115"/>
      <c r="C30" s="115"/>
      <c r="D30" s="313"/>
      <c r="E30" s="310"/>
      <c r="F30" s="310"/>
      <c r="G30" s="314"/>
      <c r="H30" s="315"/>
      <c r="I30" s="315"/>
      <c r="J30" s="314"/>
      <c r="K30" s="315"/>
    </row>
    <row r="31" spans="1:11" s="106" customFormat="1" x14ac:dyDescent="0.3">
      <c r="A31" s="108"/>
      <c r="B31" s="115"/>
      <c r="C31" s="115"/>
      <c r="D31" s="313"/>
      <c r="E31" s="310"/>
      <c r="F31" s="310"/>
      <c r="G31" s="314"/>
      <c r="H31" s="315"/>
      <c r="I31" s="315"/>
      <c r="J31" s="314"/>
      <c r="K31" s="315"/>
    </row>
    <row r="32" spans="1:11" s="106" customFormat="1" x14ac:dyDescent="0.3">
      <c r="A32" s="108"/>
      <c r="B32" s="115"/>
      <c r="C32" s="115"/>
      <c r="D32" s="313"/>
      <c r="E32" s="310"/>
      <c r="F32" s="310"/>
      <c r="G32" s="314"/>
      <c r="H32" s="315"/>
      <c r="I32" s="315"/>
      <c r="J32" s="314"/>
      <c r="K32" s="315"/>
    </row>
    <row r="33" spans="4:11" x14ac:dyDescent="0.3">
      <c r="G33" s="147"/>
      <c r="J33" s="147"/>
      <c r="K33" s="130"/>
    </row>
    <row r="34" spans="4:11" x14ac:dyDescent="0.3">
      <c r="D34" s="118" t="s">
        <v>510</v>
      </c>
      <c r="E34" s="242">
        <f>SUM(E21:E32)</f>
        <v>0</v>
      </c>
      <c r="F34" s="146"/>
      <c r="G34" s="244">
        <f>SUM(G21:G32)</f>
        <v>0</v>
      </c>
      <c r="H34" s="243">
        <f>SUM(H21:H32)</f>
        <v>0</v>
      </c>
      <c r="I34" s="145"/>
      <c r="J34" s="244">
        <f>SUMPRODUCT(J21:J32,$L$21:$L$32)</f>
        <v>0</v>
      </c>
      <c r="K34" s="245">
        <f>SUMPRODUCT(K21:K32,$L$21:$L$32)</f>
        <v>0</v>
      </c>
    </row>
    <row r="36" spans="4:11" x14ac:dyDescent="0.3">
      <c r="D36" s="118" t="s">
        <v>590</v>
      </c>
      <c r="E36" s="243">
        <f>H34+K34</f>
        <v>0</v>
      </c>
    </row>
    <row r="44" spans="4:11" x14ac:dyDescent="0.3">
      <c r="J44" s="108" t="s">
        <v>25</v>
      </c>
    </row>
  </sheetData>
  <sheetProtection password="F31D" sheet="1" objects="1" scenarios="1" formatCells="0" selectLockedCells="1" sort="0" autoFilter="0"/>
  <dataConsolidate link="1"/>
  <mergeCells count="17">
    <mergeCell ref="N3:R4"/>
    <mergeCell ref="N5:R5"/>
    <mergeCell ref="B1:K1"/>
    <mergeCell ref="G12:H12"/>
    <mergeCell ref="G14:H14"/>
    <mergeCell ref="B2:L2"/>
    <mergeCell ref="G7:H7"/>
    <mergeCell ref="J7:K7"/>
    <mergeCell ref="G16:H16"/>
    <mergeCell ref="J8:K8"/>
    <mergeCell ref="J10:K10"/>
    <mergeCell ref="J11:K11"/>
    <mergeCell ref="J12:K12"/>
    <mergeCell ref="J16:K16"/>
    <mergeCell ref="G8:H8"/>
    <mergeCell ref="G10:H10"/>
    <mergeCell ref="G11:H11"/>
  </mergeCells>
  <conditionalFormatting sqref="J33:K34">
    <cfRule type="expression" dxfId="7" priority="3" stopIfTrue="1">
      <formula>$E$5=1</formula>
    </cfRule>
  </conditionalFormatting>
  <dataValidations count="1">
    <dataValidation type="list" allowBlank="1" showInputMessage="1" showErrorMessage="1" sqref="E5:F5">
      <formula1>"1,2"</formula1>
    </dataValidation>
  </dataValidations>
  <hyperlinks>
    <hyperlink ref="N5" r:id="rId1"/>
    <hyperlink ref="N5:R5" r:id="rId2" display="www.vergepermaculture.ca/ghtool"/>
  </hyperlinks>
  <pageMargins left="0.7" right="0.7" top="0.75" bottom="0.75" header="0.3" footer="0.3"/>
  <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'0. Wood Heating Value Data'!$A$2:$A$74</xm:f>
          </x14:formula1>
          <xm:sqref>G16 J16</xm:sqref>
        </x14:dataValidation>
        <x14:dataValidation type="list" allowBlank="1" showInputMessage="1" showErrorMessage="1">
          <x14:formula1>
            <xm:f>'Drop Down Menu Data'!$B$61:$B$111</xm:f>
          </x14:formula1>
          <xm:sqref>J12 G12</xm:sqref>
        </x14:dataValidation>
        <x14:dataValidation type="list" allowBlank="1" showInputMessage="1" showErrorMessage="1">
          <x14:formula1>
            <xm:f>'Drop Down Menu Data'!$B$12:$B$111</xm:f>
          </x14:formula1>
          <xm:sqref>G14</xm:sqref>
        </x14:dataValidation>
        <x14:dataValidation type="list" allowBlank="1" showInputMessage="1" showErrorMessage="1">
          <x14:formula1>
            <xm:f>'0. Heat loss data'!$J$3:$J$14</xm:f>
          </x14:formula1>
          <xm:sqref>G8:H8 J8:K8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R14"/>
  <sheetViews>
    <sheetView zoomScaleNormal="100" workbookViewId="0">
      <selection activeCell="E4" sqref="E4"/>
    </sheetView>
  </sheetViews>
  <sheetFormatPr defaultRowHeight="14.4" x14ac:dyDescent="0.3"/>
  <cols>
    <col min="1" max="1" width="7.33203125" style="108" customWidth="1"/>
    <col min="2" max="2" width="10" style="132" customWidth="1"/>
    <col min="3" max="3" width="37.88671875" style="141" bestFit="1" customWidth="1"/>
    <col min="4" max="4" width="3.5546875" style="108" customWidth="1"/>
    <col min="5" max="5" width="38.5546875" style="142" customWidth="1"/>
    <col min="6" max="6" width="11.6640625" style="108" bestFit="1" customWidth="1"/>
    <col min="7" max="12" width="8.88671875" style="108"/>
    <col min="13" max="13" width="4.33203125" style="108" customWidth="1"/>
    <col min="14" max="16384" width="8.88671875" style="108"/>
  </cols>
  <sheetData>
    <row r="1" spans="1:18" ht="45.6" customHeight="1" thickBot="1" x14ac:dyDescent="0.35">
      <c r="B1" s="467" t="s">
        <v>591</v>
      </c>
      <c r="C1" s="467"/>
      <c r="D1" s="467"/>
      <c r="E1" s="467"/>
      <c r="F1" s="467"/>
      <c r="G1" s="467"/>
      <c r="H1" s="467"/>
      <c r="I1" s="467"/>
      <c r="J1" s="467"/>
      <c r="K1" s="467"/>
      <c r="L1" s="467"/>
    </row>
    <row r="2" spans="1:18" ht="64.8" customHeight="1" thickBot="1" x14ac:dyDescent="0.35">
      <c r="B2" s="463" t="s">
        <v>573</v>
      </c>
      <c r="C2" s="464"/>
      <c r="D2" s="464"/>
      <c r="E2" s="464"/>
      <c r="F2" s="464"/>
      <c r="G2" s="464"/>
      <c r="H2" s="464"/>
      <c r="I2" s="464"/>
      <c r="J2" s="464"/>
      <c r="K2" s="464"/>
      <c r="L2" s="465"/>
    </row>
    <row r="3" spans="1:18" ht="14.4" customHeight="1" x14ac:dyDescent="0.3">
      <c r="N3" s="439" t="s">
        <v>600</v>
      </c>
      <c r="O3" s="439"/>
      <c r="P3" s="439"/>
      <c r="Q3" s="439"/>
      <c r="R3" s="439"/>
    </row>
    <row r="4" spans="1:18" ht="14.4" customHeight="1" x14ac:dyDescent="0.3">
      <c r="A4" s="132"/>
      <c r="B4" s="154"/>
      <c r="C4" s="149"/>
      <c r="D4" s="172"/>
      <c r="E4" s="316"/>
      <c r="F4" s="148"/>
      <c r="G4" s="148"/>
      <c r="N4" s="439"/>
      <c r="O4" s="439"/>
      <c r="P4" s="439"/>
      <c r="Q4" s="439"/>
      <c r="R4" s="439"/>
    </row>
    <row r="5" spans="1:18" ht="15.6" customHeight="1" x14ac:dyDescent="0.3">
      <c r="A5" s="132"/>
      <c r="B5" s="154"/>
      <c r="C5" s="149"/>
      <c r="D5" s="172"/>
      <c r="E5" s="317"/>
      <c r="F5" s="148"/>
      <c r="G5" s="148"/>
      <c r="N5" s="440" t="s">
        <v>604</v>
      </c>
      <c r="O5" s="440"/>
      <c r="P5" s="440"/>
      <c r="Q5" s="440"/>
      <c r="R5" s="440"/>
    </row>
    <row r="6" spans="1:18" x14ac:dyDescent="0.3">
      <c r="A6" s="132"/>
      <c r="B6" s="154"/>
      <c r="C6" s="149"/>
      <c r="D6" s="172"/>
      <c r="E6" s="318"/>
      <c r="F6" s="148"/>
      <c r="G6" s="148"/>
    </row>
    <row r="7" spans="1:18" x14ac:dyDescent="0.3">
      <c r="A7" s="132"/>
      <c r="B7" s="154"/>
      <c r="C7" s="149"/>
      <c r="D7" s="172"/>
      <c r="E7" s="319"/>
      <c r="F7" s="148"/>
      <c r="G7" s="148"/>
    </row>
    <row r="8" spans="1:18" x14ac:dyDescent="0.3">
      <c r="A8" s="132"/>
      <c r="B8" s="154"/>
      <c r="C8" s="149"/>
      <c r="D8" s="172"/>
      <c r="E8" s="320"/>
      <c r="F8" s="321"/>
      <c r="G8" s="148"/>
    </row>
    <row r="9" spans="1:18" x14ac:dyDescent="0.3">
      <c r="A9" s="132"/>
      <c r="B9" s="154"/>
      <c r="C9" s="149"/>
      <c r="D9" s="172"/>
      <c r="E9" s="322">
        <v>2</v>
      </c>
      <c r="F9" s="148"/>
      <c r="G9" s="148"/>
    </row>
    <row r="10" spans="1:18" x14ac:dyDescent="0.3">
      <c r="A10" s="132"/>
      <c r="B10" s="154"/>
      <c r="C10" s="149"/>
      <c r="D10" s="172"/>
      <c r="E10" s="323"/>
      <c r="F10" s="148"/>
      <c r="G10" s="148"/>
    </row>
    <row r="11" spans="1:18" x14ac:dyDescent="0.3">
      <c r="A11" s="132"/>
      <c r="B11" s="154"/>
      <c r="C11" s="149"/>
      <c r="D11" s="172"/>
      <c r="E11" s="324"/>
      <c r="F11" s="148"/>
      <c r="G11" s="148"/>
    </row>
    <row r="12" spans="1:18" x14ac:dyDescent="0.3">
      <c r="A12" s="132"/>
      <c r="C12" s="149"/>
      <c r="D12" s="148"/>
      <c r="E12" s="325"/>
      <c r="F12" s="148"/>
      <c r="G12" s="148"/>
    </row>
    <row r="13" spans="1:18" x14ac:dyDescent="0.3">
      <c r="A13" s="132"/>
      <c r="C13" s="157"/>
      <c r="D13" s="132"/>
    </row>
    <row r="14" spans="1:18" x14ac:dyDescent="0.3">
      <c r="E14" s="142">
        <v>4</v>
      </c>
      <c r="F14" s="147"/>
    </row>
  </sheetData>
  <sheetProtection password="F31D" sheet="1" objects="1" scenarios="1" formatCells="0" selectLockedCells="1" sort="0" autoFilter="0"/>
  <mergeCells count="4">
    <mergeCell ref="B2:L2"/>
    <mergeCell ref="B1:L1"/>
    <mergeCell ref="N3:R4"/>
    <mergeCell ref="N5:R5"/>
  </mergeCells>
  <hyperlinks>
    <hyperlink ref="N5" r:id="rId1"/>
    <hyperlink ref="N5:R5" r:id="rId2" display="www.vergepermaculture.ca/ghtool"/>
  </hyperlinks>
  <pageMargins left="0.7" right="0.7" top="0.75" bottom="0.75" header="0.3" footer="0.3"/>
  <pageSetup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'0. Heat loss data'!$P$4:$P$12</xm:f>
          </x14:formula1>
          <xm:sqref>E5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B1:AF36"/>
  <sheetViews>
    <sheetView topLeftCell="F1" zoomScaleNormal="100" workbookViewId="0">
      <selection activeCell="F6" sqref="F6"/>
    </sheetView>
  </sheetViews>
  <sheetFormatPr defaultRowHeight="14.4" x14ac:dyDescent="0.3"/>
  <cols>
    <col min="1" max="1" width="7.33203125" style="108" customWidth="1"/>
    <col min="2" max="2" width="8.88671875" style="108"/>
    <col min="3" max="3" width="2.33203125" style="108" customWidth="1"/>
    <col min="4" max="4" width="19.88671875" style="108" customWidth="1"/>
    <col min="5" max="5" width="23.88671875" style="108" customWidth="1"/>
    <col min="6" max="6" width="35.109375" style="156" customWidth="1"/>
    <col min="7" max="7" width="10.88671875" style="108" customWidth="1"/>
    <col min="8" max="8" width="20.109375" style="108" customWidth="1"/>
    <col min="9" max="9" width="18" style="108" customWidth="1"/>
    <col min="10" max="10" width="0" style="108" hidden="1" customWidth="1"/>
    <col min="11" max="11" width="5.5546875" style="108" customWidth="1"/>
    <col min="12" max="12" width="21.109375" style="108" customWidth="1"/>
    <col min="13" max="13" width="26.88671875" style="108" customWidth="1"/>
    <col min="14" max="14" width="10.109375" style="108" customWidth="1"/>
    <col min="15" max="15" width="13.88671875" style="108" customWidth="1"/>
    <col min="16" max="16" width="8.88671875" style="108"/>
    <col min="17" max="17" width="3.33203125" style="108" customWidth="1"/>
    <col min="18" max="31" width="8.88671875" style="108"/>
    <col min="32" max="32" width="8.88671875" style="106"/>
    <col min="33" max="16384" width="8.88671875" style="108"/>
  </cols>
  <sheetData>
    <row r="1" spans="2:32" ht="31.8" customHeight="1" thickBot="1" x14ac:dyDescent="0.35">
      <c r="B1" s="468" t="s">
        <v>592</v>
      </c>
      <c r="C1" s="468"/>
      <c r="D1" s="468"/>
      <c r="E1" s="468"/>
      <c r="F1" s="468"/>
      <c r="G1" s="468"/>
      <c r="H1" s="468"/>
      <c r="I1" s="468"/>
      <c r="J1" s="468"/>
      <c r="K1" s="468"/>
      <c r="L1" s="468"/>
      <c r="M1" s="468"/>
      <c r="N1" s="468"/>
      <c r="O1" s="468"/>
      <c r="P1" s="468"/>
    </row>
    <row r="2" spans="2:32" ht="64.8" customHeight="1" x14ac:dyDescent="0.3">
      <c r="B2" s="469" t="s">
        <v>575</v>
      </c>
      <c r="C2" s="470"/>
      <c r="D2" s="470"/>
      <c r="E2" s="470"/>
      <c r="F2" s="470"/>
      <c r="G2" s="470"/>
      <c r="H2" s="470"/>
      <c r="I2" s="470"/>
      <c r="J2" s="470"/>
      <c r="K2" s="470"/>
      <c r="L2" s="470"/>
      <c r="M2" s="470"/>
      <c r="N2" s="470"/>
      <c r="O2" s="470"/>
      <c r="P2" s="471"/>
    </row>
    <row r="3" spans="2:32" ht="14.4" customHeight="1" x14ac:dyDescent="0.3">
      <c r="B3" s="106"/>
      <c r="C3" s="106"/>
      <c r="D3" s="106"/>
      <c r="E3" s="106"/>
      <c r="F3" s="280"/>
      <c r="G3" s="106"/>
      <c r="H3" s="106"/>
      <c r="I3" s="106"/>
      <c r="J3" s="106"/>
      <c r="K3" s="106"/>
      <c r="L3" s="106"/>
      <c r="M3" s="106"/>
      <c r="N3" s="106"/>
      <c r="O3" s="106"/>
      <c r="P3" s="106"/>
      <c r="R3" s="473" t="s">
        <v>600</v>
      </c>
      <c r="S3" s="473"/>
      <c r="T3" s="473"/>
      <c r="U3" s="473"/>
      <c r="V3" s="473"/>
    </row>
    <row r="4" spans="2:32" ht="15" customHeight="1" x14ac:dyDescent="0.3">
      <c r="B4" s="106"/>
      <c r="C4" s="106"/>
      <c r="D4" s="106"/>
      <c r="E4" s="106"/>
      <c r="F4" s="280"/>
      <c r="G4" s="106"/>
      <c r="H4" s="106"/>
      <c r="I4" s="106"/>
      <c r="J4" s="106"/>
      <c r="K4" s="106"/>
      <c r="L4" s="271"/>
      <c r="M4" s="335"/>
      <c r="N4" s="335"/>
      <c r="O4" s="335"/>
      <c r="P4" s="335"/>
      <c r="R4" s="473"/>
      <c r="S4" s="473"/>
      <c r="T4" s="473"/>
      <c r="U4" s="473"/>
      <c r="V4" s="473"/>
    </row>
    <row r="5" spans="2:32" ht="30" customHeight="1" x14ac:dyDescent="0.3">
      <c r="B5" s="106"/>
      <c r="C5" s="106"/>
      <c r="D5" s="106"/>
      <c r="E5" s="106"/>
      <c r="F5" s="280"/>
      <c r="G5" s="106"/>
      <c r="H5" s="106"/>
      <c r="I5" s="106"/>
      <c r="J5" s="106"/>
      <c r="K5" s="106"/>
      <c r="L5" s="271"/>
      <c r="M5" s="335"/>
      <c r="N5" s="335"/>
      <c r="O5" s="335"/>
      <c r="P5" s="335"/>
      <c r="R5" s="474" t="s">
        <v>604</v>
      </c>
      <c r="S5" s="474"/>
      <c r="T5" s="474"/>
      <c r="U5" s="474"/>
      <c r="V5" s="474"/>
      <c r="AF5" s="176"/>
    </row>
    <row r="6" spans="2:32" x14ac:dyDescent="0.3">
      <c r="B6" s="106"/>
      <c r="C6" s="106"/>
      <c r="D6" s="172"/>
      <c r="E6" s="111"/>
      <c r="F6" s="297"/>
      <c r="G6" s="170"/>
      <c r="H6" s="106"/>
      <c r="I6" s="106"/>
      <c r="J6" s="106"/>
      <c r="K6" s="106"/>
      <c r="L6" s="271"/>
      <c r="M6" s="335"/>
      <c r="N6" s="335"/>
      <c r="O6" s="335"/>
      <c r="P6" s="335"/>
    </row>
    <row r="7" spans="2:32" ht="12.6" customHeight="1" x14ac:dyDescent="0.3">
      <c r="B7" s="106"/>
      <c r="C7" s="106"/>
      <c r="D7" s="172"/>
      <c r="E7" s="111"/>
      <c r="F7" s="297"/>
      <c r="G7" s="280"/>
      <c r="H7" s="106"/>
      <c r="I7" s="106"/>
      <c r="J7" s="106"/>
      <c r="K7" s="106"/>
      <c r="L7" s="271"/>
      <c r="M7" s="335"/>
      <c r="N7" s="335"/>
      <c r="O7" s="335"/>
      <c r="P7" s="335"/>
      <c r="AF7" s="176"/>
    </row>
    <row r="8" spans="2:32" ht="14.4" customHeight="1" x14ac:dyDescent="0.3">
      <c r="B8" s="106"/>
      <c r="C8" s="106"/>
      <c r="D8" s="173"/>
      <c r="E8" s="111"/>
      <c r="F8" s="327"/>
      <c r="G8" s="280"/>
      <c r="H8" s="106"/>
      <c r="I8" s="106"/>
      <c r="J8" s="106"/>
      <c r="K8" s="106"/>
      <c r="L8" s="271"/>
      <c r="M8" s="336"/>
      <c r="N8" s="336"/>
      <c r="O8" s="336"/>
      <c r="P8" s="336"/>
    </row>
    <row r="9" spans="2:32" x14ac:dyDescent="0.3">
      <c r="B9" s="106"/>
      <c r="C9" s="106"/>
      <c r="D9" s="172"/>
      <c r="E9" s="111">
        <v>2</v>
      </c>
      <c r="F9" s="328"/>
      <c r="G9" s="174"/>
      <c r="H9" s="174"/>
      <c r="I9" s="106"/>
      <c r="J9" s="106"/>
      <c r="K9" s="106"/>
      <c r="L9" s="271"/>
      <c r="M9" s="336"/>
      <c r="N9" s="336"/>
      <c r="O9" s="336"/>
      <c r="P9" s="336"/>
    </row>
    <row r="10" spans="2:32" x14ac:dyDescent="0.3">
      <c r="B10" s="106"/>
      <c r="C10" s="106"/>
      <c r="D10" s="172"/>
      <c r="E10" s="111"/>
      <c r="F10" s="171"/>
      <c r="G10" s="280"/>
      <c r="H10" s="106"/>
      <c r="I10" s="106"/>
      <c r="J10" s="106"/>
      <c r="K10" s="106"/>
      <c r="L10" s="271"/>
      <c r="M10" s="336"/>
      <c r="N10" s="336"/>
      <c r="O10" s="336"/>
      <c r="P10" s="336"/>
    </row>
    <row r="11" spans="2:32" x14ac:dyDescent="0.3">
      <c r="B11" s="106"/>
      <c r="C11" s="106"/>
      <c r="D11" s="172"/>
      <c r="E11" s="111"/>
      <c r="F11" s="326"/>
      <c r="G11" s="280"/>
      <c r="H11" s="106"/>
      <c r="I11" s="106"/>
      <c r="J11" s="106"/>
      <c r="K11" s="106"/>
      <c r="L11" s="271"/>
      <c r="M11" s="336"/>
      <c r="N11" s="336"/>
      <c r="O11" s="336"/>
      <c r="P11" s="336"/>
    </row>
    <row r="12" spans="2:32" ht="39.6" customHeight="1" x14ac:dyDescent="0.3">
      <c r="B12" s="106"/>
      <c r="C12" s="106"/>
      <c r="D12" s="106"/>
      <c r="E12" s="106"/>
      <c r="F12" s="280"/>
      <c r="G12" s="106"/>
      <c r="H12" s="106"/>
      <c r="I12" s="106"/>
      <c r="J12" s="106"/>
      <c r="K12" s="106"/>
      <c r="L12" s="271"/>
      <c r="M12" s="336"/>
      <c r="N12" s="336"/>
      <c r="O12" s="336"/>
      <c r="P12" s="336"/>
    </row>
    <row r="13" spans="2:32" x14ac:dyDescent="0.3">
      <c r="B13" s="106"/>
      <c r="C13" s="106"/>
      <c r="D13" s="106"/>
      <c r="E13" s="106"/>
      <c r="F13" s="280"/>
      <c r="G13" s="106"/>
      <c r="H13" s="106"/>
      <c r="I13" s="106"/>
      <c r="J13" s="106"/>
      <c r="K13" s="106"/>
      <c r="L13" s="106"/>
      <c r="M13" s="106"/>
      <c r="N13" s="106"/>
      <c r="O13" s="106"/>
      <c r="P13" s="106"/>
    </row>
    <row r="14" spans="2:32" x14ac:dyDescent="0.3">
      <c r="B14" s="106"/>
      <c r="C14" s="106"/>
      <c r="D14" s="106"/>
      <c r="E14" s="106">
        <v>4</v>
      </c>
      <c r="F14" s="280"/>
      <c r="G14" s="106"/>
      <c r="H14" s="106"/>
      <c r="I14" s="106"/>
      <c r="J14" s="106"/>
      <c r="K14" s="106"/>
      <c r="L14" s="106"/>
      <c r="M14" s="111"/>
      <c r="N14" s="336"/>
      <c r="O14" s="337"/>
      <c r="P14" s="337"/>
    </row>
    <row r="15" spans="2:32" x14ac:dyDescent="0.3">
      <c r="B15" s="106"/>
      <c r="C15" s="106"/>
      <c r="D15" s="106"/>
      <c r="E15" s="106"/>
      <c r="F15" s="329"/>
      <c r="G15" s="106"/>
      <c r="H15" s="106"/>
      <c r="I15" s="106"/>
      <c r="J15" s="106"/>
      <c r="K15" s="106"/>
      <c r="L15" s="106"/>
      <c r="M15" s="111"/>
      <c r="N15" s="336"/>
      <c r="O15" s="338"/>
      <c r="P15" s="338"/>
    </row>
    <row r="16" spans="2:32" x14ac:dyDescent="0.3">
      <c r="B16" s="106"/>
      <c r="C16" s="177"/>
      <c r="D16" s="120"/>
      <c r="E16" s="120"/>
      <c r="F16" s="120"/>
      <c r="G16" s="120"/>
      <c r="H16" s="120"/>
      <c r="I16" s="120"/>
      <c r="J16" s="106"/>
      <c r="K16" s="106"/>
      <c r="L16" s="106"/>
      <c r="M16" s="111"/>
      <c r="N16" s="336"/>
      <c r="O16" s="339"/>
      <c r="P16" s="339"/>
    </row>
    <row r="17" spans="2:16" x14ac:dyDescent="0.3">
      <c r="B17" s="115"/>
      <c r="C17" s="175"/>
      <c r="D17" s="330"/>
      <c r="E17" s="330"/>
      <c r="F17" s="331"/>
      <c r="G17" s="332"/>
      <c r="H17" s="333"/>
      <c r="I17" s="334"/>
      <c r="J17" s="106"/>
      <c r="K17" s="106"/>
      <c r="L17" s="106"/>
      <c r="M17" s="111"/>
      <c r="N17" s="336"/>
      <c r="O17" s="340"/>
      <c r="P17" s="340"/>
    </row>
    <row r="18" spans="2:16" x14ac:dyDescent="0.3">
      <c r="B18" s="115"/>
      <c r="C18" s="175"/>
      <c r="D18" s="330"/>
      <c r="E18" s="330"/>
      <c r="F18" s="331"/>
      <c r="G18" s="332"/>
      <c r="H18" s="333"/>
      <c r="I18" s="334"/>
      <c r="J18" s="106"/>
      <c r="K18" s="106"/>
      <c r="L18" s="106"/>
      <c r="M18" s="106"/>
      <c r="N18" s="336"/>
      <c r="O18" s="336"/>
      <c r="P18" s="339"/>
    </row>
    <row r="19" spans="2:16" x14ac:dyDescent="0.3">
      <c r="B19" s="115"/>
      <c r="C19" s="175"/>
      <c r="D19" s="330"/>
      <c r="E19" s="330"/>
      <c r="F19" s="331"/>
      <c r="G19" s="332"/>
      <c r="H19" s="333"/>
      <c r="I19" s="334"/>
      <c r="J19" s="106"/>
      <c r="K19" s="106"/>
      <c r="L19" s="106"/>
      <c r="M19" s="106"/>
      <c r="N19" s="106"/>
      <c r="O19" s="336"/>
      <c r="P19" s="340"/>
    </row>
    <row r="20" spans="2:16" x14ac:dyDescent="0.3">
      <c r="B20" s="115"/>
      <c r="C20" s="175"/>
      <c r="D20" s="330"/>
      <c r="E20" s="330"/>
      <c r="F20" s="331"/>
      <c r="G20" s="332"/>
      <c r="H20" s="333"/>
      <c r="I20" s="334"/>
      <c r="J20" s="106"/>
      <c r="K20" s="106"/>
      <c r="L20" s="106"/>
      <c r="M20" s="106"/>
      <c r="N20" s="106"/>
      <c r="O20" s="106"/>
      <c r="P20" s="106"/>
    </row>
    <row r="21" spans="2:16" ht="15" customHeight="1" x14ac:dyDescent="0.3">
      <c r="B21" s="115"/>
      <c r="C21" s="175"/>
      <c r="D21" s="330"/>
      <c r="E21" s="330"/>
      <c r="F21" s="331"/>
      <c r="G21" s="332"/>
      <c r="H21" s="333"/>
      <c r="I21" s="334"/>
      <c r="J21" s="106"/>
      <c r="K21" s="106"/>
      <c r="L21" s="106"/>
      <c r="M21" s="106"/>
      <c r="N21" s="106"/>
      <c r="O21" s="106"/>
      <c r="P21" s="106"/>
    </row>
    <row r="22" spans="2:16" x14ac:dyDescent="0.3">
      <c r="B22" s="115"/>
      <c r="C22" s="175"/>
      <c r="D22" s="330"/>
      <c r="E22" s="330"/>
      <c r="F22" s="331"/>
      <c r="G22" s="332"/>
      <c r="H22" s="333"/>
      <c r="I22" s="334"/>
      <c r="J22" s="106"/>
      <c r="K22" s="106"/>
      <c r="L22" s="106"/>
      <c r="M22" s="106"/>
      <c r="N22" s="106"/>
      <c r="O22" s="106"/>
      <c r="P22" s="106"/>
    </row>
    <row r="23" spans="2:16" x14ac:dyDescent="0.3">
      <c r="B23" s="115"/>
      <c r="C23" s="175"/>
      <c r="D23" s="330"/>
      <c r="E23" s="330"/>
      <c r="F23" s="331"/>
      <c r="G23" s="332"/>
      <c r="H23" s="333"/>
      <c r="I23" s="334"/>
      <c r="J23" s="106"/>
      <c r="K23" s="106"/>
      <c r="L23" s="106"/>
      <c r="M23" s="106"/>
      <c r="N23" s="106"/>
      <c r="O23" s="106"/>
      <c r="P23" s="106"/>
    </row>
    <row r="24" spans="2:16" x14ac:dyDescent="0.3">
      <c r="B24" s="115"/>
      <c r="C24" s="175"/>
      <c r="D24" s="330"/>
      <c r="E24" s="330"/>
      <c r="F24" s="331"/>
      <c r="G24" s="332"/>
      <c r="H24" s="333"/>
      <c r="I24" s="334"/>
      <c r="J24" s="106"/>
      <c r="K24" s="106"/>
      <c r="L24" s="106"/>
      <c r="M24" s="106"/>
      <c r="N24" s="106"/>
      <c r="O24" s="106"/>
      <c r="P24" s="106"/>
    </row>
    <row r="25" spans="2:16" x14ac:dyDescent="0.3">
      <c r="B25" s="115"/>
      <c r="C25" s="175"/>
      <c r="D25" s="330"/>
      <c r="E25" s="330"/>
      <c r="F25" s="331"/>
      <c r="G25" s="332" t="s">
        <v>582</v>
      </c>
      <c r="H25" s="333"/>
      <c r="I25" s="334"/>
      <c r="J25" s="106"/>
      <c r="K25" s="106"/>
      <c r="L25" s="106"/>
      <c r="M25" s="106"/>
      <c r="N25" s="106"/>
      <c r="O25" s="106"/>
      <c r="P25" s="106"/>
    </row>
    <row r="26" spans="2:16" x14ac:dyDescent="0.3">
      <c r="B26" s="115"/>
      <c r="C26" s="175"/>
      <c r="D26" s="330"/>
      <c r="E26" s="330"/>
      <c r="F26" s="331"/>
      <c r="G26" s="332" t="s">
        <v>582</v>
      </c>
      <c r="H26" s="333"/>
      <c r="I26" s="334"/>
      <c r="J26" s="106"/>
      <c r="K26" s="106"/>
      <c r="L26" s="106"/>
      <c r="M26" s="106"/>
      <c r="N26" s="106"/>
      <c r="O26" s="106"/>
      <c r="P26" s="106"/>
    </row>
    <row r="27" spans="2:16" x14ac:dyDescent="0.3">
      <c r="B27" s="115"/>
      <c r="C27" s="175"/>
      <c r="D27" s="330"/>
      <c r="E27" s="330"/>
      <c r="F27" s="331"/>
      <c r="G27" s="332"/>
      <c r="H27" s="333"/>
      <c r="I27" s="334"/>
      <c r="J27" s="106"/>
      <c r="K27" s="106"/>
      <c r="L27" s="106"/>
      <c r="M27" s="106"/>
      <c r="N27" s="106"/>
      <c r="O27" s="106"/>
      <c r="P27" s="106"/>
    </row>
    <row r="28" spans="2:16" x14ac:dyDescent="0.3">
      <c r="B28" s="115"/>
      <c r="C28" s="175"/>
      <c r="D28" s="330"/>
      <c r="E28" s="330"/>
      <c r="F28" s="331"/>
      <c r="G28" s="332"/>
      <c r="H28" s="333"/>
      <c r="I28" s="334"/>
      <c r="J28" s="106"/>
      <c r="K28" s="106"/>
      <c r="L28" s="106"/>
      <c r="M28" s="106"/>
      <c r="N28" s="106"/>
      <c r="O28" s="106"/>
      <c r="P28" s="106"/>
    </row>
    <row r="29" spans="2:16" x14ac:dyDescent="0.3">
      <c r="B29" s="106"/>
      <c r="C29" s="106"/>
      <c r="D29" s="106"/>
      <c r="E29" s="106"/>
      <c r="F29" s="280"/>
      <c r="G29" s="106"/>
      <c r="H29" s="106"/>
      <c r="I29" s="106"/>
      <c r="J29" s="106"/>
      <c r="K29" s="106"/>
      <c r="L29" s="106"/>
      <c r="M29" s="106"/>
      <c r="N29" s="106"/>
      <c r="O29" s="106"/>
      <c r="P29" s="106"/>
    </row>
    <row r="30" spans="2:16" x14ac:dyDescent="0.3">
      <c r="B30" s="106"/>
      <c r="C30" s="106"/>
      <c r="D30" s="111"/>
      <c r="E30" s="330"/>
      <c r="F30" s="331"/>
      <c r="G30" s="106"/>
      <c r="H30" s="333"/>
      <c r="I30" s="334"/>
      <c r="J30" s="106"/>
      <c r="K30" s="106"/>
      <c r="L30" s="106"/>
      <c r="M30" s="106"/>
      <c r="N30" s="106"/>
      <c r="O30" s="106"/>
      <c r="P30" s="106"/>
    </row>
    <row r="31" spans="2:16" x14ac:dyDescent="0.3">
      <c r="B31" s="106"/>
      <c r="C31" s="106"/>
      <c r="D31" s="106"/>
      <c r="E31" s="106"/>
      <c r="F31" s="280"/>
      <c r="G31" s="106"/>
      <c r="H31" s="106"/>
      <c r="I31" s="106"/>
      <c r="J31" s="106"/>
      <c r="K31" s="106"/>
      <c r="L31" s="106"/>
      <c r="M31" s="106"/>
      <c r="N31" s="106"/>
      <c r="O31" s="106"/>
      <c r="P31" s="106"/>
    </row>
    <row r="36" spans="11:11" x14ac:dyDescent="0.3">
      <c r="K36" s="108" t="s">
        <v>25</v>
      </c>
    </row>
  </sheetData>
  <sheetProtection password="F31D" sheet="1" objects="1" scenarios="1" formatCells="0" selectLockedCells="1" sort="0" autoFilter="0"/>
  <mergeCells count="4">
    <mergeCell ref="B1:P1"/>
    <mergeCell ref="B2:P2"/>
    <mergeCell ref="R3:V4"/>
    <mergeCell ref="R5:V5"/>
  </mergeCells>
  <conditionalFormatting sqref="I17:I28">
    <cfRule type="dataBar" priority="3">
      <dataBar>
        <cfvo type="min"/>
        <cfvo type="max"/>
        <color rgb="FFFF555A"/>
      </dataBar>
      <extLst>
        <ext xmlns:x14="http://schemas.microsoft.com/office/spreadsheetml/2009/9/main" uri="{B025F937-C7B1-47D3-B67F-A62EFF666E3E}">
          <x14:id>{A10749B0-890C-44CC-9345-D64DAFE46B1B}</x14:id>
        </ext>
      </extLst>
    </cfRule>
  </conditionalFormatting>
  <conditionalFormatting sqref="G17:G28">
    <cfRule type="containsText" dxfId="6" priority="1" operator="containsText" text="OFF">
      <formula>NOT(ISERROR(SEARCH("OFF",G17)))</formula>
    </cfRule>
    <cfRule type="containsText" dxfId="5" priority="2" operator="containsText" text="ON">
      <formula>NOT(ISERROR(SEARCH("ON",G17)))</formula>
    </cfRule>
  </conditionalFormatting>
  <dataValidations count="1">
    <dataValidation type="custom" allowBlank="1" showInputMessage="1" showErrorMessage="1" sqref="F15">
      <formula1>"&gt;0,&lt;0"</formula1>
    </dataValidation>
  </dataValidations>
  <hyperlinks>
    <hyperlink ref="R5" r:id="rId1"/>
    <hyperlink ref="R5:V5" r:id="rId2" display="www.vergepermaculture.ca/ghtool"/>
  </hyperlinks>
  <pageMargins left="0.7" right="0.7" top="0.75" bottom="0.75" header="0.3" footer="0.3"/>
  <pageSetup orientation="portrait" verticalDpi="0" r:id="rId3"/>
  <drawing r:id="rId4"/>
  <extLst>
    <ext xmlns:x14="http://schemas.microsoft.com/office/spreadsheetml/2009/9/main" uri="{78C0D931-6437-407d-A8EE-F0AAD7539E65}">
      <x14:conditionalFormattings>
        <x14:conditionalFormatting xmlns:xm="http://schemas.microsoft.com/office/excel/2006/main">
          <x14:cfRule type="dataBar" id="{A10749B0-890C-44CC-9345-D64DAFE46B1B}">
            <x14:dataBar minLength="0" maxLength="100" gradient="0">
              <x14:cfvo type="autoMin"/>
              <x14:cfvo type="autoMax"/>
              <x14:negativeFillColor rgb="FFFF0000"/>
              <x14:axisColor rgb="FF000000"/>
            </x14:dataBar>
          </x14:cfRule>
          <xm:sqref>I17:I28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'Drop Down Menu Data'!$S$6:$S$10</xm:f>
          </x14:formula1>
          <xm:sqref>F6</xm:sqref>
        </x14:dataValidation>
        <x14:dataValidation type="list" allowBlank="1" showInputMessage="1" showErrorMessage="1">
          <x14:formula1>
            <xm:f>'Drop Down Menu Data'!$D$25:$D$48</xm:f>
          </x14:formula1>
          <xm:sqref>F8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V44"/>
  <sheetViews>
    <sheetView zoomScaleNormal="100" workbookViewId="0">
      <selection activeCell="E7" sqref="E7"/>
    </sheetView>
  </sheetViews>
  <sheetFormatPr defaultRowHeight="14.4" x14ac:dyDescent="0.3"/>
  <cols>
    <col min="1" max="1" width="7.33203125" style="108" customWidth="1"/>
    <col min="2" max="2" width="5.6640625" style="108" customWidth="1"/>
    <col min="3" max="3" width="61.109375" style="108" customWidth="1"/>
    <col min="4" max="4" width="2.6640625" style="108" customWidth="1"/>
    <col min="5" max="5" width="34" style="108" customWidth="1"/>
    <col min="6" max="6" width="2.6640625" style="108" customWidth="1"/>
    <col min="7" max="7" width="34" style="108" customWidth="1"/>
    <col min="8" max="8" width="6.33203125" style="108" customWidth="1"/>
    <col min="9" max="9" width="5.5546875" style="108" customWidth="1"/>
    <col min="10" max="11" width="29.88671875" style="132" hidden="1" customWidth="1"/>
    <col min="12" max="12" width="3.21875" style="108" customWidth="1"/>
    <col min="13" max="19" width="8.88671875" style="108"/>
    <col min="20" max="20" width="33.33203125" style="108" customWidth="1"/>
    <col min="21" max="21" width="14.88671875" style="108" customWidth="1"/>
    <col min="22" max="25" width="8.88671875" style="108"/>
    <col min="26" max="26" width="36.109375" style="108" customWidth="1"/>
    <col min="27" max="27" width="15.88671875" style="108" customWidth="1"/>
    <col min="28" max="16384" width="8.88671875" style="108"/>
  </cols>
  <sheetData>
    <row r="1" spans="2:22" ht="46.2" customHeight="1" thickBot="1" x14ac:dyDescent="0.35">
      <c r="B1" s="461" t="s">
        <v>593</v>
      </c>
      <c r="C1" s="461"/>
      <c r="D1" s="461"/>
      <c r="E1" s="461"/>
      <c r="F1" s="461"/>
      <c r="G1" s="461"/>
      <c r="H1" s="461"/>
      <c r="I1" s="461"/>
    </row>
    <row r="2" spans="2:22" ht="64.8" customHeight="1" thickBot="1" x14ac:dyDescent="0.35">
      <c r="B2" s="463" t="s">
        <v>578</v>
      </c>
      <c r="C2" s="464"/>
      <c r="D2" s="464"/>
      <c r="E2" s="464"/>
      <c r="F2" s="464"/>
      <c r="G2" s="464"/>
      <c r="H2" s="464"/>
      <c r="I2" s="464"/>
      <c r="J2" s="464"/>
      <c r="K2" s="465"/>
      <c r="N2" s="170"/>
    </row>
    <row r="3" spans="2:22" ht="14.4" customHeight="1" x14ac:dyDescent="0.3">
      <c r="M3" s="473" t="s">
        <v>600</v>
      </c>
      <c r="N3" s="473"/>
      <c r="O3" s="473"/>
      <c r="P3" s="473"/>
      <c r="Q3" s="473"/>
    </row>
    <row r="4" spans="2:22" ht="14.4" customHeight="1" x14ac:dyDescent="0.3">
      <c r="M4" s="473"/>
      <c r="N4" s="473"/>
      <c r="O4" s="473"/>
      <c r="P4" s="473"/>
      <c r="Q4" s="473"/>
    </row>
    <row r="5" spans="2:22" ht="15.6" customHeight="1" x14ac:dyDescent="0.3">
      <c r="B5" s="106"/>
      <c r="C5" s="106"/>
      <c r="D5" s="106"/>
      <c r="E5" s="106"/>
      <c r="F5" s="106"/>
      <c r="G5" s="106"/>
      <c r="H5" s="106"/>
      <c r="I5" s="106"/>
      <c r="J5" s="148"/>
      <c r="K5" s="148"/>
      <c r="L5" s="106"/>
      <c r="M5" s="474" t="s">
        <v>604</v>
      </c>
      <c r="N5" s="474"/>
      <c r="O5" s="474"/>
      <c r="P5" s="474"/>
      <c r="Q5" s="474"/>
    </row>
    <row r="6" spans="2:22" x14ac:dyDescent="0.3">
      <c r="B6" s="106"/>
      <c r="C6" s="111"/>
      <c r="D6" s="111"/>
      <c r="E6" s="213"/>
      <c r="F6" s="213"/>
      <c r="G6" s="106"/>
      <c r="H6" s="106"/>
      <c r="I6" s="106"/>
      <c r="J6" s="148"/>
      <c r="K6" s="342"/>
      <c r="L6" s="472"/>
      <c r="M6" s="472"/>
      <c r="N6" s="170"/>
      <c r="V6" s="210"/>
    </row>
    <row r="7" spans="2:22" x14ac:dyDescent="0.3">
      <c r="B7" s="106"/>
      <c r="C7" s="111"/>
      <c r="D7" s="111"/>
      <c r="E7" s="327"/>
      <c r="F7" s="214"/>
      <c r="G7" s="106"/>
      <c r="H7" s="106"/>
      <c r="I7" s="106"/>
      <c r="J7" s="148"/>
      <c r="K7" s="148"/>
      <c r="L7" s="106"/>
      <c r="M7" s="106"/>
    </row>
    <row r="8" spans="2:22" x14ac:dyDescent="0.3">
      <c r="B8" s="106"/>
      <c r="C8" s="111"/>
      <c r="D8" s="111"/>
      <c r="E8" s="211"/>
      <c r="F8" s="211"/>
      <c r="G8" s="106"/>
      <c r="H8" s="106"/>
      <c r="I8" s="106"/>
      <c r="J8" s="148"/>
      <c r="K8" s="148"/>
      <c r="L8" s="170"/>
      <c r="M8" s="170"/>
      <c r="N8" s="170"/>
      <c r="O8" s="170"/>
      <c r="T8" s="113"/>
    </row>
    <row r="9" spans="2:22" x14ac:dyDescent="0.3">
      <c r="B9" s="106"/>
      <c r="C9" s="111"/>
      <c r="D9" s="111"/>
      <c r="E9" s="343"/>
      <c r="F9" s="215"/>
      <c r="G9" s="106"/>
      <c r="H9" s="106"/>
      <c r="I9" s="106"/>
      <c r="J9" s="148"/>
      <c r="K9" s="148"/>
      <c r="L9" s="170"/>
      <c r="M9" s="170"/>
      <c r="N9" s="170"/>
      <c r="O9" s="170"/>
    </row>
    <row r="10" spans="2:22" x14ac:dyDescent="0.3">
      <c r="B10" s="106"/>
      <c r="C10" s="111"/>
      <c r="D10" s="111"/>
      <c r="E10" s="344"/>
      <c r="F10" s="215"/>
      <c r="G10" s="106"/>
      <c r="H10" s="106"/>
      <c r="I10" s="106"/>
      <c r="J10" s="148"/>
      <c r="K10" s="148"/>
      <c r="L10" s="170"/>
      <c r="M10" s="170"/>
      <c r="N10" s="170"/>
      <c r="O10" s="170"/>
    </row>
    <row r="11" spans="2:22" x14ac:dyDescent="0.3">
      <c r="B11" s="106"/>
      <c r="C11" s="111"/>
      <c r="D11" s="111"/>
      <c r="E11" s="327"/>
      <c r="F11" s="214"/>
      <c r="G11" s="106"/>
      <c r="H11" s="106"/>
      <c r="I11" s="106"/>
      <c r="J11" s="148"/>
      <c r="K11" s="148"/>
      <c r="L11" s="170"/>
      <c r="M11" s="170"/>
      <c r="N11" s="170"/>
      <c r="O11" s="170"/>
    </row>
    <row r="12" spans="2:22" x14ac:dyDescent="0.3">
      <c r="B12" s="106"/>
      <c r="C12" s="111"/>
      <c r="D12" s="111"/>
      <c r="E12" s="327"/>
      <c r="F12" s="214"/>
      <c r="G12" s="106"/>
      <c r="H12" s="106"/>
      <c r="I12" s="106"/>
      <c r="J12" s="148"/>
      <c r="K12" s="148"/>
      <c r="L12" s="170"/>
      <c r="M12" s="170"/>
      <c r="N12" s="170"/>
      <c r="O12" s="170"/>
    </row>
    <row r="13" spans="2:22" x14ac:dyDescent="0.3">
      <c r="B13" s="106"/>
      <c r="C13" s="111"/>
      <c r="D13" s="111"/>
      <c r="E13" s="327"/>
      <c r="F13" s="214"/>
      <c r="G13" s="106"/>
      <c r="H13" s="106"/>
      <c r="I13" s="106"/>
      <c r="J13" s="148"/>
      <c r="K13" s="148"/>
      <c r="L13" s="170"/>
      <c r="M13" s="170"/>
      <c r="N13" s="170"/>
      <c r="O13" s="170"/>
    </row>
    <row r="14" spans="2:22" x14ac:dyDescent="0.3">
      <c r="B14" s="106"/>
      <c r="C14" s="111"/>
      <c r="D14" s="111"/>
      <c r="E14" s="212"/>
      <c r="F14" s="212"/>
      <c r="G14" s="106"/>
      <c r="H14" s="106"/>
      <c r="I14" s="106"/>
      <c r="J14" s="148"/>
      <c r="K14" s="148"/>
      <c r="L14" s="170"/>
      <c r="M14" s="170"/>
      <c r="N14" s="170"/>
      <c r="O14" s="170"/>
      <c r="T14" s="180"/>
      <c r="U14" s="180"/>
    </row>
    <row r="15" spans="2:22" ht="15" customHeight="1" x14ac:dyDescent="0.3">
      <c r="B15" s="106"/>
      <c r="C15" s="106"/>
      <c r="D15" s="106"/>
      <c r="E15" s="106"/>
      <c r="F15" s="106"/>
      <c r="G15" s="106"/>
      <c r="H15" s="106"/>
      <c r="I15" s="106"/>
      <c r="J15" s="173"/>
      <c r="K15" s="173"/>
      <c r="L15" s="170"/>
      <c r="M15" s="170"/>
      <c r="N15" s="170"/>
      <c r="O15" s="170"/>
      <c r="T15" s="180"/>
      <c r="U15" s="186"/>
    </row>
    <row r="16" spans="2:22" x14ac:dyDescent="0.3">
      <c r="B16" s="106"/>
      <c r="C16" s="106"/>
      <c r="D16" s="106"/>
      <c r="E16" s="106"/>
      <c r="F16" s="106"/>
      <c r="G16" s="106"/>
      <c r="H16" s="106"/>
      <c r="I16" s="106"/>
      <c r="J16" s="345"/>
      <c r="K16" s="345"/>
      <c r="L16" s="170"/>
      <c r="M16" s="170"/>
      <c r="N16" s="170"/>
      <c r="O16" s="170"/>
      <c r="T16" s="180"/>
      <c r="U16" s="181"/>
    </row>
    <row r="17" spans="1:21" ht="47.4" customHeight="1" x14ac:dyDescent="0.3">
      <c r="B17" s="106"/>
      <c r="C17" s="308"/>
      <c r="D17" s="308"/>
      <c r="E17" s="211"/>
      <c r="F17" s="211"/>
      <c r="G17" s="120"/>
      <c r="H17" s="120"/>
      <c r="I17" s="120"/>
      <c r="J17" s="346"/>
      <c r="K17" s="346"/>
      <c r="L17" s="170"/>
      <c r="M17" s="170"/>
      <c r="N17" s="170"/>
      <c r="O17" s="170"/>
      <c r="T17" s="180"/>
    </row>
    <row r="18" spans="1:21" ht="70.8" customHeight="1" x14ac:dyDescent="0.3">
      <c r="B18" s="106"/>
      <c r="C18" s="148"/>
      <c r="D18" s="148"/>
      <c r="E18" s="148"/>
      <c r="F18" s="148"/>
      <c r="G18" s="347"/>
      <c r="H18" s="347"/>
      <c r="I18" s="347"/>
      <c r="J18" s="109"/>
      <c r="K18" s="148"/>
      <c r="L18" s="170"/>
      <c r="M18" s="170"/>
      <c r="N18" s="170"/>
      <c r="O18" s="170"/>
      <c r="P18" s="170"/>
    </row>
    <row r="19" spans="1:21" x14ac:dyDescent="0.3">
      <c r="B19" s="106"/>
      <c r="C19" s="148"/>
      <c r="D19" s="148"/>
      <c r="E19" s="148"/>
      <c r="F19" s="148"/>
      <c r="G19" s="148"/>
      <c r="H19" s="106"/>
      <c r="I19" s="106"/>
      <c r="J19" s="106"/>
      <c r="K19" s="148"/>
      <c r="L19" s="170"/>
      <c r="M19" s="170"/>
      <c r="N19" s="170"/>
      <c r="O19" s="170"/>
      <c r="P19" s="170"/>
    </row>
    <row r="20" spans="1:21" x14ac:dyDescent="0.3">
      <c r="B20" s="106"/>
      <c r="C20" s="308"/>
      <c r="D20" s="172"/>
      <c r="E20" s="341"/>
      <c r="F20" s="348"/>
      <c r="G20" s="148"/>
      <c r="H20" s="106"/>
      <c r="I20" s="106"/>
      <c r="J20" s="106"/>
      <c r="K20" s="148"/>
      <c r="L20" s="170"/>
      <c r="M20" s="170"/>
      <c r="N20" s="170"/>
      <c r="O20" s="170"/>
      <c r="U20" s="184"/>
    </row>
    <row r="21" spans="1:21" x14ac:dyDescent="0.3">
      <c r="B21" s="106"/>
      <c r="C21" s="148"/>
      <c r="D21" s="148"/>
      <c r="E21" s="148"/>
      <c r="F21" s="148"/>
      <c r="G21" s="148"/>
      <c r="H21" s="106"/>
      <c r="I21" s="106"/>
      <c r="J21" s="106"/>
      <c r="K21" s="148"/>
      <c r="L21" s="170"/>
      <c r="M21" s="170"/>
      <c r="N21" s="170"/>
      <c r="O21" s="170"/>
      <c r="U21" s="184"/>
    </row>
    <row r="22" spans="1:21" x14ac:dyDescent="0.3">
      <c r="B22" s="106"/>
      <c r="C22" s="148"/>
      <c r="D22" s="148"/>
      <c r="E22" s="312"/>
      <c r="F22" s="109"/>
      <c r="G22" s="312"/>
      <c r="H22" s="106"/>
      <c r="I22" s="106"/>
      <c r="J22" s="106"/>
      <c r="K22" s="148"/>
      <c r="L22" s="170"/>
      <c r="M22" s="170"/>
      <c r="N22" s="170"/>
      <c r="O22" s="170"/>
    </row>
    <row r="23" spans="1:21" x14ac:dyDescent="0.3">
      <c r="A23" s="113"/>
      <c r="B23" s="106"/>
      <c r="C23" s="308"/>
      <c r="D23" s="148"/>
      <c r="E23" s="211"/>
      <c r="F23" s="148"/>
      <c r="G23" s="211"/>
      <c r="H23" s="106"/>
      <c r="I23" s="106"/>
      <c r="J23" s="106"/>
      <c r="K23" s="148"/>
      <c r="L23" s="170"/>
      <c r="M23" s="170"/>
      <c r="N23" s="170"/>
      <c r="O23" s="170"/>
      <c r="T23" s="113"/>
    </row>
    <row r="24" spans="1:21" x14ac:dyDescent="0.3">
      <c r="A24" s="179"/>
      <c r="B24" s="349"/>
      <c r="C24" s="148"/>
      <c r="D24" s="148"/>
      <c r="E24" s="148"/>
      <c r="F24" s="350"/>
      <c r="G24" s="148"/>
      <c r="H24" s="106"/>
      <c r="I24" s="106"/>
      <c r="J24" s="109"/>
      <c r="K24" s="148"/>
      <c r="L24" s="170"/>
      <c r="M24" s="170"/>
      <c r="N24" s="170"/>
      <c r="O24" s="170"/>
    </row>
    <row r="25" spans="1:21" x14ac:dyDescent="0.3">
      <c r="F25" s="178"/>
      <c r="J25" s="108" t="s">
        <v>445</v>
      </c>
      <c r="L25" s="170"/>
      <c r="M25" s="170"/>
      <c r="N25" s="170"/>
      <c r="O25" s="170"/>
    </row>
    <row r="26" spans="1:21" x14ac:dyDescent="0.3">
      <c r="L26" s="155"/>
      <c r="M26" s="155"/>
      <c r="N26" s="155"/>
      <c r="O26" s="155"/>
    </row>
    <row r="27" spans="1:21" x14ac:dyDescent="0.3">
      <c r="T27" s="180"/>
      <c r="U27" s="180"/>
    </row>
    <row r="28" spans="1:21" x14ac:dyDescent="0.3">
      <c r="A28" s="132"/>
      <c r="B28" s="132"/>
      <c r="E28" s="132"/>
      <c r="F28" s="132"/>
      <c r="L28" s="472"/>
      <c r="M28" s="472"/>
      <c r="T28" s="180"/>
      <c r="U28" s="186"/>
    </row>
    <row r="29" spans="1:21" x14ac:dyDescent="0.3">
      <c r="T29" s="180"/>
      <c r="U29" s="181"/>
    </row>
    <row r="30" spans="1:21" x14ac:dyDescent="0.3">
      <c r="A30" s="113"/>
      <c r="B30" s="113"/>
      <c r="L30" s="170"/>
      <c r="M30" s="170"/>
      <c r="N30" s="170"/>
      <c r="O30" s="170"/>
      <c r="T30" s="180"/>
    </row>
    <row r="31" spans="1:21" x14ac:dyDescent="0.3">
      <c r="A31" s="179"/>
      <c r="B31" s="179"/>
      <c r="L31" s="170"/>
      <c r="M31" s="170"/>
      <c r="N31" s="170"/>
      <c r="O31" s="170"/>
    </row>
    <row r="32" spans="1:21" x14ac:dyDescent="0.3">
      <c r="L32" s="170"/>
      <c r="M32" s="170"/>
      <c r="N32" s="170"/>
      <c r="O32" s="170"/>
    </row>
    <row r="33" spans="1:21" ht="18" x14ac:dyDescent="0.35">
      <c r="L33" s="170"/>
      <c r="M33" s="170"/>
      <c r="N33" s="170"/>
      <c r="O33" s="170"/>
      <c r="T33" s="182"/>
      <c r="U33" s="183"/>
    </row>
    <row r="34" spans="1:21" x14ac:dyDescent="0.3">
      <c r="L34" s="170"/>
      <c r="M34" s="170"/>
      <c r="N34" s="170"/>
      <c r="O34" s="170"/>
      <c r="U34" s="184"/>
    </row>
    <row r="35" spans="1:21" x14ac:dyDescent="0.3">
      <c r="A35" s="132"/>
      <c r="B35" s="132"/>
      <c r="L35" s="170"/>
      <c r="M35" s="170"/>
      <c r="N35" s="170"/>
      <c r="O35" s="170"/>
      <c r="U35" s="184"/>
    </row>
    <row r="36" spans="1:21" x14ac:dyDescent="0.3">
      <c r="L36" s="170"/>
      <c r="M36" s="170"/>
      <c r="N36" s="170"/>
      <c r="O36" s="170"/>
      <c r="U36" s="185"/>
    </row>
    <row r="37" spans="1:21" x14ac:dyDescent="0.3">
      <c r="A37" s="113"/>
      <c r="B37" s="113"/>
      <c r="E37" s="113"/>
      <c r="F37" s="113"/>
      <c r="L37" s="170"/>
      <c r="M37" s="170"/>
      <c r="N37" s="170"/>
      <c r="O37" s="170"/>
    </row>
    <row r="38" spans="1:21" x14ac:dyDescent="0.3">
      <c r="A38" s="179"/>
      <c r="B38" s="179"/>
      <c r="E38" s="179"/>
      <c r="F38" s="179"/>
      <c r="L38" s="170"/>
      <c r="M38" s="170"/>
      <c r="N38" s="170"/>
      <c r="O38" s="170"/>
    </row>
    <row r="39" spans="1:21" x14ac:dyDescent="0.3">
      <c r="L39" s="170"/>
      <c r="M39" s="170"/>
      <c r="N39" s="170"/>
      <c r="O39" s="170"/>
    </row>
    <row r="40" spans="1:21" x14ac:dyDescent="0.3">
      <c r="L40" s="170"/>
      <c r="M40" s="170"/>
      <c r="N40" s="170"/>
      <c r="O40" s="170"/>
    </row>
    <row r="41" spans="1:21" x14ac:dyDescent="0.3">
      <c r="L41" s="170"/>
      <c r="M41" s="170"/>
      <c r="N41" s="170"/>
      <c r="O41" s="170"/>
    </row>
    <row r="42" spans="1:21" x14ac:dyDescent="0.3">
      <c r="A42" s="132"/>
      <c r="B42" s="132"/>
      <c r="E42" s="132"/>
      <c r="F42" s="132"/>
      <c r="L42" s="170"/>
      <c r="M42" s="170"/>
      <c r="N42" s="170"/>
      <c r="O42" s="170"/>
    </row>
    <row r="43" spans="1:21" x14ac:dyDescent="0.3">
      <c r="L43" s="170"/>
      <c r="M43" s="170"/>
      <c r="N43" s="170"/>
      <c r="O43" s="170"/>
    </row>
    <row r="44" spans="1:21" x14ac:dyDescent="0.3">
      <c r="L44" s="170"/>
      <c r="M44" s="170"/>
      <c r="N44" s="170"/>
      <c r="O44" s="170"/>
    </row>
  </sheetData>
  <sheetProtection password="F31D" sheet="1" objects="1" scenarios="1" formatCells="0" selectLockedCells="1" sort="0" autoFilter="0"/>
  <mergeCells count="6">
    <mergeCell ref="B2:K2"/>
    <mergeCell ref="L6:M6"/>
    <mergeCell ref="L28:M28"/>
    <mergeCell ref="B1:I1"/>
    <mergeCell ref="M3:Q4"/>
    <mergeCell ref="M5:Q5"/>
  </mergeCells>
  <conditionalFormatting sqref="G17">
    <cfRule type="notContainsText" dxfId="4" priority="4" operator="notContains" text="OK">
      <formula>ISERROR(SEARCH("OK",G17))</formula>
    </cfRule>
    <cfRule type="beginsWith" dxfId="3" priority="5" operator="beginsWith" text="OK">
      <formula>LEFT(G17,LEN("OK"))="OK"</formula>
    </cfRule>
  </conditionalFormatting>
  <conditionalFormatting sqref="G18">
    <cfRule type="containsText" dxfId="2" priority="1" operator="containsText" text="range">
      <formula>NOT(ISERROR(SEARCH("range",G18)))</formula>
    </cfRule>
    <cfRule type="containsText" dxfId="1" priority="2" operator="containsText" text="low">
      <formula>NOT(ISERROR(SEARCH("low",G18)))</formula>
    </cfRule>
    <cfRule type="containsText" dxfId="0" priority="3" operator="containsText" text="high">
      <formula>NOT(ISERROR(SEARCH("high",G18)))</formula>
    </cfRule>
  </conditionalFormatting>
  <hyperlinks>
    <hyperlink ref="M5" r:id="rId1"/>
    <hyperlink ref="M5:Q5" r:id="rId2" display="www.vergepermaculture.ca/ghtool"/>
  </hyperlinks>
  <pageMargins left="0.7" right="0.7" top="0.75" bottom="0.75" header="0.3" footer="0.3"/>
  <pageSetup orientation="portrait" verticalDpi="0"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'Drop Down Menu Data'!$N$24:$N$33</xm:f>
          </x14:formula1>
          <xm:sqref>E7</xm:sqref>
        </x14:dataValidation>
        <x14:dataValidation type="list" allowBlank="1" showInputMessage="1" showErrorMessage="1">
          <x14:formula1>
            <xm:f>'Drop Down Menu Data'!$I$76:$I$77</xm:f>
          </x14:formula1>
          <xm:sqref>E11</xm:sqref>
        </x14:dataValidation>
        <x14:dataValidation type="list" allowBlank="1" showInputMessage="1" showErrorMessage="1">
          <x14:formula1>
            <xm:f>'Drop Down Menu Data'!$K$75:$K$79</xm:f>
          </x14:formula1>
          <xm:sqref>E12</xm:sqref>
        </x14:dataValidation>
        <x14:dataValidation type="list" allowBlank="1" showInputMessage="1" showErrorMessage="1">
          <x14:formula1>
            <xm:f>'Drop Down Menu Data'!$I$89:$I$92</xm:f>
          </x14:formula1>
          <xm:sqref>E10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B2:T51"/>
  <sheetViews>
    <sheetView tabSelected="1" zoomScaleNormal="100" workbookViewId="0">
      <selection activeCell="P3" sqref="P3:T5"/>
    </sheetView>
  </sheetViews>
  <sheetFormatPr defaultRowHeight="14.4" customHeight="1" x14ac:dyDescent="0.3"/>
  <cols>
    <col min="1" max="1" width="4" style="108" customWidth="1"/>
    <col min="2" max="2" width="4.33203125" style="108" customWidth="1"/>
    <col min="3" max="3" width="3.33203125" style="108" customWidth="1"/>
    <col min="4" max="4" width="4.44140625" style="108" customWidth="1"/>
    <col min="5" max="5" width="39.88671875" style="287" bestFit="1" customWidth="1"/>
    <col min="6" max="6" width="15.5546875" style="287" bestFit="1" customWidth="1"/>
    <col min="7" max="7" width="18.109375" style="287" bestFit="1" customWidth="1"/>
    <col min="8" max="8" width="19.88671875" style="287" customWidth="1"/>
    <col min="9" max="9" width="5.109375" style="284" customWidth="1"/>
    <col min="10" max="10" width="3.33203125" style="284" customWidth="1"/>
    <col min="11" max="11" width="4.44140625" style="284" customWidth="1"/>
    <col min="12" max="12" width="41.88671875" style="287" bestFit="1" customWidth="1"/>
    <col min="13" max="13" width="19.109375" style="287" customWidth="1"/>
    <col min="14" max="14" width="4.21875" style="108" customWidth="1"/>
    <col min="15" max="15" width="2.21875" style="108" customWidth="1"/>
    <col min="16" max="16384" width="8.88671875" style="108"/>
  </cols>
  <sheetData>
    <row r="2" spans="2:20" ht="14.4" customHeight="1" x14ac:dyDescent="0.3">
      <c r="B2" s="106"/>
      <c r="C2" s="106"/>
      <c r="D2" s="106"/>
      <c r="E2" s="288"/>
      <c r="F2" s="288"/>
      <c r="G2" s="288"/>
      <c r="H2" s="288"/>
      <c r="I2" s="177"/>
      <c r="J2" s="177"/>
      <c r="K2" s="177"/>
      <c r="L2" s="288"/>
      <c r="M2" s="288"/>
      <c r="N2" s="106"/>
      <c r="O2" s="106"/>
      <c r="P2" s="106"/>
    </row>
    <row r="3" spans="2:20" s="285" customFormat="1" ht="18" customHeight="1" x14ac:dyDescent="0.4">
      <c r="B3" s="283"/>
      <c r="C3" s="283"/>
      <c r="D3" s="283"/>
      <c r="E3" s="288"/>
      <c r="F3" s="288"/>
      <c r="G3" s="288"/>
      <c r="H3" s="288"/>
      <c r="I3" s="282"/>
      <c r="J3" s="282"/>
      <c r="K3" s="351"/>
      <c r="L3" s="288"/>
      <c r="M3" s="288"/>
      <c r="N3" s="283"/>
      <c r="O3" s="283"/>
      <c r="P3" s="473" t="s">
        <v>600</v>
      </c>
      <c r="Q3" s="473"/>
      <c r="R3" s="473"/>
      <c r="S3" s="473"/>
      <c r="T3" s="473"/>
    </row>
    <row r="4" spans="2:20" ht="14.4" customHeight="1" x14ac:dyDescent="0.3">
      <c r="B4" s="106"/>
      <c r="C4" s="106"/>
      <c r="D4" s="106"/>
      <c r="E4" s="288"/>
      <c r="F4" s="288"/>
      <c r="G4" s="288"/>
      <c r="H4" s="288"/>
      <c r="I4" s="177"/>
      <c r="J4" s="177"/>
      <c r="K4" s="271"/>
      <c r="L4" s="288"/>
      <c r="M4" s="288"/>
      <c r="N4" s="106"/>
      <c r="O4" s="106"/>
      <c r="P4" s="473"/>
      <c r="Q4" s="473"/>
      <c r="R4" s="473"/>
      <c r="S4" s="473"/>
      <c r="T4" s="473"/>
    </row>
    <row r="5" spans="2:20" ht="14.4" customHeight="1" x14ac:dyDescent="0.3">
      <c r="B5" s="106"/>
      <c r="C5" s="106"/>
      <c r="D5" s="106"/>
      <c r="E5" s="288"/>
      <c r="F5" s="288"/>
      <c r="G5" s="288"/>
      <c r="H5" s="288"/>
      <c r="I5" s="177"/>
      <c r="J5" s="177"/>
      <c r="K5" s="177"/>
      <c r="L5" s="289"/>
      <c r="M5" s="352"/>
      <c r="N5" s="106"/>
      <c r="O5" s="106"/>
      <c r="P5" s="474" t="s">
        <v>604</v>
      </c>
      <c r="Q5" s="474"/>
      <c r="R5" s="474"/>
      <c r="S5" s="474"/>
      <c r="T5" s="474"/>
    </row>
    <row r="6" spans="2:20" ht="14.4" customHeight="1" x14ac:dyDescent="0.3">
      <c r="B6" s="106"/>
      <c r="C6" s="106"/>
      <c r="D6" s="106"/>
      <c r="E6" s="288"/>
      <c r="F6" s="288"/>
      <c r="G6" s="288"/>
      <c r="H6" s="288"/>
      <c r="I6" s="177"/>
      <c r="J6" s="177"/>
      <c r="K6" s="177"/>
      <c r="L6" s="289"/>
      <c r="M6" s="353"/>
      <c r="N6" s="106"/>
      <c r="O6" s="106"/>
      <c r="P6" s="106"/>
    </row>
    <row r="7" spans="2:20" ht="14.4" customHeight="1" x14ac:dyDescent="0.3">
      <c r="B7" s="106"/>
      <c r="C7" s="106"/>
      <c r="D7" s="111"/>
      <c r="E7" s="290"/>
      <c r="F7" s="288"/>
      <c r="G7" s="291"/>
      <c r="H7" s="294"/>
      <c r="I7" s="177"/>
      <c r="J7" s="177"/>
      <c r="K7" s="177"/>
      <c r="L7" s="289"/>
      <c r="M7" s="352"/>
      <c r="N7" s="106"/>
      <c r="O7" s="106"/>
      <c r="P7" s="106"/>
    </row>
    <row r="8" spans="2:20" ht="14.4" customHeight="1" x14ac:dyDescent="0.3">
      <c r="B8" s="106"/>
      <c r="C8" s="106"/>
      <c r="D8" s="106"/>
      <c r="E8" s="288"/>
      <c r="F8" s="288"/>
      <c r="G8" s="288"/>
      <c r="H8" s="288"/>
      <c r="I8" s="177"/>
      <c r="J8" s="177"/>
      <c r="K8" s="177"/>
      <c r="L8" s="289"/>
      <c r="M8" s="354"/>
      <c r="N8" s="106"/>
      <c r="O8" s="106"/>
      <c r="P8" s="106"/>
    </row>
    <row r="9" spans="2:20" ht="14.4" customHeight="1" x14ac:dyDescent="0.3">
      <c r="B9" s="106"/>
      <c r="C9" s="106"/>
      <c r="D9" s="106"/>
      <c r="E9" s="288"/>
      <c r="F9" s="288"/>
      <c r="G9" s="288"/>
      <c r="H9" s="288"/>
      <c r="I9" s="177"/>
      <c r="J9" s="177"/>
      <c r="K9" s="177"/>
      <c r="L9" s="289"/>
      <c r="M9" s="352"/>
      <c r="N9" s="106"/>
      <c r="O9" s="106"/>
      <c r="P9" s="106"/>
    </row>
    <row r="10" spans="2:20" ht="14.4" customHeight="1" x14ac:dyDescent="0.3">
      <c r="B10" s="106"/>
      <c r="C10" s="106"/>
      <c r="D10" s="106"/>
      <c r="E10" s="288"/>
      <c r="F10" s="288"/>
      <c r="G10" s="288"/>
      <c r="H10" s="288"/>
      <c r="I10" s="177"/>
      <c r="J10" s="177"/>
      <c r="K10" s="177"/>
      <c r="L10" s="289"/>
      <c r="M10" s="355"/>
      <c r="N10" s="106"/>
      <c r="O10" s="106"/>
      <c r="P10" s="106"/>
    </row>
    <row r="11" spans="2:20" ht="14.4" customHeight="1" x14ac:dyDescent="0.3">
      <c r="B11" s="106"/>
      <c r="C11" s="106"/>
      <c r="D11" s="106"/>
      <c r="E11" s="288"/>
      <c r="F11" s="288"/>
      <c r="G11" s="288"/>
      <c r="H11" s="288"/>
      <c r="I11" s="177"/>
      <c r="J11" s="177"/>
      <c r="K11" s="177"/>
      <c r="L11" s="289"/>
      <c r="M11" s="354"/>
      <c r="N11" s="106"/>
      <c r="O11" s="106"/>
      <c r="P11" s="106"/>
    </row>
    <row r="12" spans="2:20" ht="14.4" customHeight="1" x14ac:dyDescent="0.3">
      <c r="B12" s="106"/>
      <c r="C12" s="106"/>
      <c r="D12" s="106"/>
      <c r="E12" s="288"/>
      <c r="F12" s="288"/>
      <c r="G12" s="288"/>
      <c r="H12" s="288"/>
      <c r="I12" s="177"/>
      <c r="J12" s="177"/>
      <c r="K12" s="177"/>
      <c r="L12" s="288"/>
      <c r="M12" s="288"/>
      <c r="N12" s="106"/>
      <c r="O12" s="106"/>
      <c r="P12" s="106"/>
    </row>
    <row r="13" spans="2:20" s="286" customFormat="1" ht="18" customHeight="1" x14ac:dyDescent="0.3">
      <c r="B13" s="282"/>
      <c r="C13" s="356"/>
      <c r="D13" s="357"/>
      <c r="E13" s="358"/>
      <c r="F13" s="358"/>
      <c r="G13" s="359"/>
      <c r="H13" s="359"/>
      <c r="I13" s="282"/>
      <c r="J13" s="282"/>
      <c r="K13" s="360"/>
      <c r="L13" s="288"/>
      <c r="M13" s="288"/>
      <c r="N13" s="282"/>
      <c r="O13" s="282"/>
      <c r="P13" s="282"/>
    </row>
    <row r="14" spans="2:20" ht="14.4" customHeight="1" x14ac:dyDescent="0.5">
      <c r="B14" s="106"/>
      <c r="C14" s="106"/>
      <c r="D14" s="269"/>
      <c r="E14" s="288"/>
      <c r="F14" s="288"/>
      <c r="G14" s="292"/>
      <c r="H14" s="292"/>
      <c r="I14" s="177"/>
      <c r="J14" s="177"/>
      <c r="K14" s="272"/>
      <c r="L14" s="288"/>
      <c r="M14" s="288"/>
      <c r="N14" s="106"/>
      <c r="O14" s="106"/>
      <c r="P14" s="106"/>
    </row>
    <row r="15" spans="2:20" ht="14.4" customHeight="1" x14ac:dyDescent="0.3">
      <c r="B15" s="106"/>
      <c r="C15" s="106"/>
      <c r="D15" s="106"/>
      <c r="E15" s="289"/>
      <c r="F15" s="136"/>
      <c r="G15" s="292"/>
      <c r="H15" s="292"/>
      <c r="I15" s="177"/>
      <c r="J15" s="177"/>
      <c r="K15" s="177"/>
      <c r="L15" s="289"/>
      <c r="M15" s="136"/>
      <c r="N15" s="106"/>
      <c r="O15" s="106"/>
      <c r="P15" s="106"/>
    </row>
    <row r="16" spans="2:20" ht="14.4" customHeight="1" x14ac:dyDescent="0.3">
      <c r="B16" s="106"/>
      <c r="C16" s="106"/>
      <c r="D16" s="106"/>
      <c r="E16" s="289"/>
      <c r="F16" s="290"/>
      <c r="G16" s="292"/>
      <c r="H16" s="292"/>
      <c r="I16" s="177"/>
      <c r="J16" s="177"/>
      <c r="K16" s="177"/>
      <c r="L16" s="289"/>
      <c r="M16" s="361"/>
      <c r="N16" s="106"/>
      <c r="O16" s="106"/>
      <c r="P16" s="106"/>
    </row>
    <row r="17" spans="2:16" ht="14.4" customHeight="1" x14ac:dyDescent="0.3">
      <c r="B17" s="106"/>
      <c r="C17" s="106"/>
      <c r="D17" s="106"/>
      <c r="E17" s="289"/>
      <c r="F17" s="290"/>
      <c r="G17" s="292"/>
      <c r="H17" s="292"/>
      <c r="I17" s="177"/>
      <c r="J17" s="177"/>
      <c r="K17" s="177"/>
      <c r="L17" s="289"/>
      <c r="M17" s="362"/>
      <c r="N17" s="106"/>
      <c r="O17" s="106"/>
      <c r="P17" s="106"/>
    </row>
    <row r="18" spans="2:16" ht="14.4" customHeight="1" x14ac:dyDescent="0.3">
      <c r="B18" s="106"/>
      <c r="C18" s="106"/>
      <c r="D18" s="106"/>
      <c r="E18" s="288"/>
      <c r="F18" s="288"/>
      <c r="G18" s="288"/>
      <c r="H18" s="288"/>
      <c r="I18" s="177"/>
      <c r="J18" s="177"/>
      <c r="K18" s="177"/>
      <c r="L18" s="289"/>
      <c r="M18" s="363"/>
      <c r="N18" s="106"/>
      <c r="O18" s="106"/>
      <c r="P18" s="106"/>
    </row>
    <row r="19" spans="2:16" ht="14.4" customHeight="1" x14ac:dyDescent="0.3">
      <c r="B19" s="106"/>
      <c r="C19" s="106"/>
      <c r="D19" s="106"/>
      <c r="E19" s="288"/>
      <c r="F19" s="288"/>
      <c r="G19" s="288"/>
      <c r="H19" s="288"/>
      <c r="I19" s="177"/>
      <c r="J19" s="177"/>
      <c r="K19" s="177"/>
      <c r="L19" s="289"/>
      <c r="M19" s="364"/>
      <c r="N19" s="106"/>
      <c r="O19" s="106"/>
      <c r="P19" s="106"/>
    </row>
    <row r="20" spans="2:16" ht="14.4" customHeight="1" x14ac:dyDescent="0.3">
      <c r="B20" s="106"/>
      <c r="C20" s="106"/>
      <c r="D20" s="106"/>
      <c r="E20" s="288"/>
      <c r="F20" s="288"/>
      <c r="G20" s="288"/>
      <c r="H20" s="288"/>
      <c r="I20" s="177"/>
      <c r="J20" s="177"/>
      <c r="K20" s="177"/>
      <c r="L20" s="288"/>
      <c r="M20" s="288"/>
      <c r="N20" s="106"/>
      <c r="O20" s="106"/>
      <c r="P20" s="106"/>
    </row>
    <row r="21" spans="2:16" s="286" customFormat="1" ht="18" customHeight="1" x14ac:dyDescent="0.3">
      <c r="B21" s="282"/>
      <c r="C21" s="282"/>
      <c r="D21" s="365"/>
      <c r="E21" s="288"/>
      <c r="F21" s="288"/>
      <c r="G21" s="288"/>
      <c r="H21" s="288"/>
      <c r="I21" s="282"/>
      <c r="J21" s="282"/>
      <c r="K21" s="360"/>
      <c r="L21" s="288"/>
      <c r="M21" s="288"/>
      <c r="N21" s="282"/>
      <c r="O21" s="282"/>
      <c r="P21" s="282"/>
    </row>
    <row r="22" spans="2:16" ht="14.4" customHeight="1" x14ac:dyDescent="0.5">
      <c r="B22" s="106"/>
      <c r="C22" s="106"/>
      <c r="D22" s="270"/>
      <c r="E22" s="288"/>
      <c r="F22" s="288"/>
      <c r="G22" s="288"/>
      <c r="H22" s="288"/>
      <c r="I22" s="177"/>
      <c r="J22" s="177"/>
      <c r="K22" s="271"/>
      <c r="L22" s="289"/>
      <c r="M22" s="288"/>
      <c r="N22" s="106"/>
      <c r="O22" s="106"/>
      <c r="P22" s="106"/>
    </row>
    <row r="23" spans="2:16" ht="14.4" customHeight="1" x14ac:dyDescent="0.3">
      <c r="B23" s="106"/>
      <c r="C23" s="106"/>
      <c r="D23" s="106"/>
      <c r="E23" s="288"/>
      <c r="F23" s="136"/>
      <c r="G23" s="136"/>
      <c r="H23" s="136"/>
      <c r="I23" s="177"/>
      <c r="J23" s="177"/>
      <c r="K23" s="177"/>
      <c r="L23" s="289"/>
      <c r="M23" s="136"/>
      <c r="N23" s="106"/>
      <c r="O23" s="106"/>
      <c r="P23" s="106"/>
    </row>
    <row r="24" spans="2:16" ht="14.4" customHeight="1" x14ac:dyDescent="0.3">
      <c r="B24" s="106"/>
      <c r="C24" s="106"/>
      <c r="D24" s="106"/>
      <c r="E24" s="289"/>
      <c r="F24" s="366"/>
      <c r="G24" s="367"/>
      <c r="H24" s="368"/>
      <c r="I24" s="177"/>
      <c r="J24" s="177"/>
      <c r="K24" s="177"/>
      <c r="L24" s="289"/>
      <c r="M24" s="364"/>
      <c r="N24" s="106"/>
      <c r="O24" s="106"/>
      <c r="P24" s="106"/>
    </row>
    <row r="25" spans="2:16" ht="14.4" customHeight="1" x14ac:dyDescent="0.3">
      <c r="B25" s="106"/>
      <c r="C25" s="106"/>
      <c r="D25" s="106"/>
      <c r="E25" s="289"/>
      <c r="F25" s="366"/>
      <c r="G25" s="367"/>
      <c r="H25" s="368"/>
      <c r="I25" s="177"/>
      <c r="J25" s="177"/>
      <c r="K25" s="177"/>
      <c r="L25" s="289"/>
      <c r="M25" s="369"/>
      <c r="N25" s="106"/>
      <c r="O25" s="106"/>
      <c r="P25" s="106"/>
    </row>
    <row r="26" spans="2:16" ht="14.4" customHeight="1" x14ac:dyDescent="0.3">
      <c r="B26" s="106"/>
      <c r="C26" s="106"/>
      <c r="D26" s="106"/>
      <c r="E26" s="289"/>
      <c r="F26" s="366"/>
      <c r="G26" s="367"/>
      <c r="H26" s="368"/>
      <c r="I26" s="177"/>
      <c r="J26" s="177"/>
      <c r="K26" s="177"/>
      <c r="L26" s="289"/>
      <c r="M26" s="370"/>
      <c r="N26" s="106"/>
      <c r="O26" s="106"/>
      <c r="P26" s="106"/>
    </row>
    <row r="27" spans="2:16" ht="14.4" customHeight="1" x14ac:dyDescent="0.3">
      <c r="B27" s="106"/>
      <c r="C27" s="106"/>
      <c r="D27" s="106"/>
      <c r="E27" s="289"/>
      <c r="F27" s="366"/>
      <c r="G27" s="367"/>
      <c r="H27" s="368"/>
      <c r="I27" s="177"/>
      <c r="J27" s="177"/>
      <c r="K27" s="177"/>
      <c r="L27" s="289"/>
      <c r="M27" s="354"/>
      <c r="N27" s="106"/>
      <c r="O27" s="106"/>
      <c r="P27" s="106"/>
    </row>
    <row r="28" spans="2:16" ht="14.4" customHeight="1" x14ac:dyDescent="0.3">
      <c r="B28" s="106"/>
      <c r="C28" s="106"/>
      <c r="D28" s="106"/>
      <c r="E28" s="289"/>
      <c r="F28" s="366"/>
      <c r="G28" s="367"/>
      <c r="H28" s="368"/>
      <c r="I28" s="177"/>
      <c r="J28" s="177"/>
      <c r="K28" s="177"/>
      <c r="L28" s="289"/>
      <c r="M28" s="371"/>
      <c r="N28" s="106"/>
      <c r="O28" s="106"/>
      <c r="P28" s="106"/>
    </row>
    <row r="29" spans="2:16" ht="14.4" customHeight="1" x14ac:dyDescent="0.3">
      <c r="B29" s="106"/>
      <c r="C29" s="106"/>
      <c r="D29" s="106"/>
      <c r="E29" s="289"/>
      <c r="F29" s="366"/>
      <c r="G29" s="367"/>
      <c r="H29" s="368"/>
      <c r="I29" s="177"/>
      <c r="J29" s="177"/>
      <c r="K29" s="177"/>
      <c r="L29" s="288"/>
      <c r="M29" s="288"/>
      <c r="N29" s="106"/>
      <c r="O29" s="106"/>
      <c r="P29" s="106"/>
    </row>
    <row r="30" spans="2:16" s="284" customFormat="1" ht="18" customHeight="1" x14ac:dyDescent="0.3">
      <c r="B30" s="177"/>
      <c r="C30" s="177"/>
      <c r="D30" s="177"/>
      <c r="E30" s="289"/>
      <c r="F30" s="366"/>
      <c r="G30" s="367"/>
      <c r="H30" s="368"/>
      <c r="I30" s="177"/>
      <c r="J30" s="282"/>
      <c r="K30" s="360"/>
      <c r="L30" s="288"/>
      <c r="M30" s="288"/>
      <c r="N30" s="177"/>
      <c r="O30" s="177"/>
      <c r="P30" s="177"/>
    </row>
    <row r="31" spans="2:16" ht="14.4" customHeight="1" x14ac:dyDescent="0.3">
      <c r="B31" s="106"/>
      <c r="C31" s="106"/>
      <c r="D31" s="106"/>
      <c r="E31" s="289"/>
      <c r="F31" s="366"/>
      <c r="G31" s="367"/>
      <c r="H31" s="368"/>
      <c r="I31" s="177"/>
      <c r="J31" s="177"/>
      <c r="K31" s="177"/>
      <c r="L31" s="288"/>
      <c r="M31" s="288"/>
      <c r="N31" s="213"/>
      <c r="O31" s="106"/>
      <c r="P31" s="106"/>
    </row>
    <row r="32" spans="2:16" ht="14.4" customHeight="1" x14ac:dyDescent="0.3">
      <c r="B32" s="106"/>
      <c r="C32" s="106"/>
      <c r="D32" s="106"/>
      <c r="E32" s="288"/>
      <c r="F32" s="288"/>
      <c r="G32" s="288"/>
      <c r="H32" s="288"/>
      <c r="I32" s="177"/>
      <c r="J32" s="177"/>
      <c r="K32" s="177"/>
      <c r="L32" s="289"/>
      <c r="M32" s="372"/>
      <c r="N32" s="214"/>
      <c r="O32" s="106"/>
      <c r="P32" s="106"/>
    </row>
    <row r="33" spans="2:16" ht="14.4" customHeight="1" x14ac:dyDescent="0.3">
      <c r="B33" s="106"/>
      <c r="C33" s="106"/>
      <c r="D33" s="106"/>
      <c r="E33" s="289"/>
      <c r="F33" s="366"/>
      <c r="G33" s="367"/>
      <c r="H33" s="288"/>
      <c r="I33" s="177"/>
      <c r="J33" s="177"/>
      <c r="K33" s="177"/>
      <c r="L33" s="289"/>
      <c r="M33" s="373"/>
      <c r="N33" s="211"/>
      <c r="O33" s="106"/>
      <c r="P33" s="106"/>
    </row>
    <row r="34" spans="2:16" ht="14.4" customHeight="1" x14ac:dyDescent="0.3">
      <c r="B34" s="106"/>
      <c r="C34" s="106"/>
      <c r="D34" s="106"/>
      <c r="E34" s="288"/>
      <c r="F34" s="293"/>
      <c r="G34" s="293"/>
      <c r="H34" s="288"/>
      <c r="I34" s="177"/>
      <c r="J34" s="177"/>
      <c r="K34" s="177"/>
      <c r="L34" s="289"/>
      <c r="M34" s="374"/>
      <c r="N34" s="348"/>
      <c r="O34" s="106"/>
      <c r="P34" s="106"/>
    </row>
    <row r="35" spans="2:16" ht="14.4" customHeight="1" x14ac:dyDescent="0.3">
      <c r="B35" s="106"/>
      <c r="C35" s="106"/>
      <c r="D35" s="106"/>
      <c r="E35" s="289"/>
      <c r="F35" s="375"/>
      <c r="G35" s="293"/>
      <c r="H35" s="288"/>
      <c r="I35" s="177"/>
      <c r="J35" s="177"/>
      <c r="K35" s="177"/>
      <c r="L35" s="289"/>
      <c r="M35" s="376"/>
      <c r="N35" s="106"/>
      <c r="O35" s="106"/>
      <c r="P35" s="106"/>
    </row>
    <row r="36" spans="2:16" ht="14.4" customHeight="1" x14ac:dyDescent="0.3">
      <c r="B36" s="106"/>
      <c r="C36" s="106"/>
      <c r="D36" s="148"/>
      <c r="E36" s="289"/>
      <c r="F36" s="372"/>
      <c r="G36" s="288"/>
      <c r="H36" s="288"/>
      <c r="I36" s="177"/>
      <c r="J36" s="177"/>
      <c r="K36" s="177"/>
      <c r="L36" s="289"/>
      <c r="M36" s="374"/>
      <c r="N36" s="106"/>
      <c r="O36" s="106"/>
      <c r="P36" s="106"/>
    </row>
    <row r="37" spans="2:16" ht="14.4" customHeight="1" x14ac:dyDescent="0.3">
      <c r="B37" s="106"/>
      <c r="C37" s="106"/>
      <c r="D37" s="148"/>
      <c r="E37" s="289"/>
      <c r="F37" s="290"/>
      <c r="G37" s="288"/>
      <c r="H37" s="288"/>
      <c r="I37" s="177"/>
      <c r="J37" s="177"/>
      <c r="K37" s="177"/>
      <c r="L37" s="288"/>
      <c r="M37" s="288"/>
      <c r="N37" s="106"/>
      <c r="O37" s="106"/>
      <c r="P37" s="106"/>
    </row>
    <row r="38" spans="2:16" ht="14.4" customHeight="1" x14ac:dyDescent="0.3">
      <c r="B38" s="106"/>
      <c r="C38" s="106"/>
      <c r="D38" s="106"/>
      <c r="E38" s="288"/>
      <c r="F38" s="288"/>
      <c r="G38" s="288"/>
      <c r="H38" s="288"/>
      <c r="I38" s="177"/>
      <c r="J38" s="177"/>
      <c r="K38" s="177"/>
      <c r="L38" s="288"/>
      <c r="M38" s="288"/>
      <c r="N38" s="106"/>
      <c r="O38" s="106"/>
      <c r="P38" s="106"/>
    </row>
    <row r="42" spans="2:16" ht="14.4" customHeight="1" x14ac:dyDescent="0.3">
      <c r="C42" s="108" t="str">
        <f>UPPER(D42)</f>
        <v/>
      </c>
    </row>
    <row r="51" spans="3:3" ht="14.4" customHeight="1" x14ac:dyDescent="0.3">
      <c r="C51" s="108" t="str">
        <f>UPPER(D51)</f>
        <v/>
      </c>
    </row>
  </sheetData>
  <sheetProtection password="F31D" sheet="1" objects="1" scenarios="1" formatCells="0" selectLockedCells="1" sort="0" autoFilter="0"/>
  <mergeCells count="2">
    <mergeCell ref="P3:T4"/>
    <mergeCell ref="P5:T5"/>
  </mergeCells>
  <conditionalFormatting sqref="H24:H31">
    <cfRule type="dataBar" priority="6">
      <dataBar>
        <cfvo type="min"/>
        <cfvo type="max"/>
        <color rgb="FFFF555A"/>
      </dataBar>
      <extLst>
        <ext xmlns:x14="http://schemas.microsoft.com/office/spreadsheetml/2009/9/main" uri="{B025F937-C7B1-47D3-B67F-A62EFF666E3E}">
          <x14:id>{2DB679A8-3B3B-40D3-805C-568B1CD1A864}</x14:id>
        </ext>
      </extLst>
    </cfRule>
  </conditionalFormatting>
  <hyperlinks>
    <hyperlink ref="P5" r:id="rId1"/>
    <hyperlink ref="P5:T5" r:id="rId2" display="www.vergepermaculture.ca/ghtool"/>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dataBar" id="{2DB679A8-3B3B-40D3-805C-568B1CD1A864}">
            <x14:dataBar minLength="0" maxLength="100" gradient="0">
              <x14:cfvo type="autoMin"/>
              <x14:cfvo type="autoMax"/>
              <x14:negativeFillColor rgb="FFFF0000"/>
              <x14:axisColor rgb="FF000000"/>
            </x14:dataBar>
          </x14:cfRule>
          <xm:sqref>H24:H31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38"/>
  <sheetViews>
    <sheetView workbookViewId="0">
      <selection activeCell="K25" sqref="K25"/>
    </sheetView>
  </sheetViews>
  <sheetFormatPr defaultRowHeight="14.4" x14ac:dyDescent="0.3"/>
  <cols>
    <col min="1" max="1" width="29.33203125" customWidth="1"/>
    <col min="2" max="2" width="13.5546875" customWidth="1"/>
    <col min="3" max="3" width="23" customWidth="1"/>
  </cols>
  <sheetData>
    <row r="1" spans="1:3" ht="13.5" customHeight="1" x14ac:dyDescent="0.3">
      <c r="A1" s="44" t="s">
        <v>28</v>
      </c>
      <c r="B1" s="45" t="s">
        <v>29</v>
      </c>
      <c r="C1" s="44" t="s">
        <v>30</v>
      </c>
    </row>
    <row r="2" spans="1:3" ht="13.5" customHeight="1" x14ac:dyDescent="0.3">
      <c r="A2" s="46" t="s">
        <v>31</v>
      </c>
      <c r="B2" s="46">
        <v>202</v>
      </c>
      <c r="C2" s="46" t="s">
        <v>32</v>
      </c>
    </row>
    <row r="3" spans="1:3" ht="13.5" customHeight="1" x14ac:dyDescent="0.3">
      <c r="A3" s="46" t="s">
        <v>33</v>
      </c>
      <c r="B3" s="46">
        <v>30.48</v>
      </c>
      <c r="C3" s="46" t="s">
        <v>34</v>
      </c>
    </row>
    <row r="4" spans="1:3" ht="13.5" customHeight="1" x14ac:dyDescent="0.3">
      <c r="A4" s="46" t="s">
        <v>33</v>
      </c>
      <c r="B4" s="46">
        <v>0.30480000000000002</v>
      </c>
      <c r="C4" s="46" t="s">
        <v>35</v>
      </c>
    </row>
    <row r="5" spans="1:3" ht="13.5" customHeight="1" x14ac:dyDescent="0.3">
      <c r="A5" s="46" t="s">
        <v>36</v>
      </c>
      <c r="B5" s="46">
        <v>62.43</v>
      </c>
      <c r="C5" s="46" t="s">
        <v>37</v>
      </c>
    </row>
    <row r="6" spans="1:3" ht="13.5" customHeight="1" x14ac:dyDescent="0.3">
      <c r="A6" s="46" t="s">
        <v>36</v>
      </c>
      <c r="B6" s="46">
        <v>0.434</v>
      </c>
      <c r="C6" s="46" t="s">
        <v>38</v>
      </c>
    </row>
    <row r="7" spans="1:3" ht="13.5" customHeight="1" x14ac:dyDescent="0.3">
      <c r="A7" s="46" t="s">
        <v>32</v>
      </c>
      <c r="B7" s="46">
        <v>3785</v>
      </c>
      <c r="C7" s="46" t="s">
        <v>39</v>
      </c>
    </row>
    <row r="8" spans="1:3" ht="13.5" customHeight="1" x14ac:dyDescent="0.3">
      <c r="A8" s="46" t="s">
        <v>32</v>
      </c>
      <c r="B8" s="46">
        <v>0.13370000000000001</v>
      </c>
      <c r="C8" s="46" t="s">
        <v>40</v>
      </c>
    </row>
    <row r="9" spans="1:3" ht="13.5" customHeight="1" x14ac:dyDescent="0.3">
      <c r="A9" s="46" t="s">
        <v>32</v>
      </c>
      <c r="B9" s="46">
        <v>3.7850000000000001</v>
      </c>
      <c r="C9" s="46" t="s">
        <v>41</v>
      </c>
    </row>
    <row r="10" spans="1:3" ht="13.5" customHeight="1" x14ac:dyDescent="0.3">
      <c r="A10" s="46" t="s">
        <v>42</v>
      </c>
      <c r="B10" s="46">
        <v>8.3452999999999999</v>
      </c>
      <c r="C10" s="46" t="s">
        <v>43</v>
      </c>
    </row>
    <row r="11" spans="1:3" ht="13.5" customHeight="1" x14ac:dyDescent="0.3">
      <c r="A11" s="46" t="s">
        <v>44</v>
      </c>
      <c r="B11" s="46" t="s">
        <v>45</v>
      </c>
      <c r="C11" s="46" t="s">
        <v>46</v>
      </c>
    </row>
    <row r="12" spans="1:3" ht="13.5" customHeight="1" x14ac:dyDescent="0.3">
      <c r="A12" s="46" t="s">
        <v>44</v>
      </c>
      <c r="B12" s="46">
        <v>1440</v>
      </c>
      <c r="C12" s="46" t="s">
        <v>47</v>
      </c>
    </row>
    <row r="13" spans="1:3" ht="13.5" customHeight="1" x14ac:dyDescent="0.3">
      <c r="A13" s="46" t="s">
        <v>44</v>
      </c>
      <c r="B13" s="46">
        <v>6.3079999999999997E-2</v>
      </c>
      <c r="C13" s="46" t="s">
        <v>48</v>
      </c>
    </row>
    <row r="14" spans="1:3" ht="13.5" customHeight="1" x14ac:dyDescent="0.3">
      <c r="A14" s="46" t="s">
        <v>47</v>
      </c>
      <c r="B14" s="46" t="s">
        <v>49</v>
      </c>
      <c r="C14" s="46" t="s">
        <v>44</v>
      </c>
    </row>
    <row r="15" spans="1:3" ht="13.5" customHeight="1" x14ac:dyDescent="0.3">
      <c r="A15" s="46" t="s">
        <v>50</v>
      </c>
      <c r="B15" s="46">
        <v>1.6040000000000001</v>
      </c>
      <c r="C15" s="46" t="s">
        <v>51</v>
      </c>
    </row>
    <row r="16" spans="1:3" ht="13.5" customHeight="1" x14ac:dyDescent="0.3">
      <c r="A16" s="46" t="s">
        <v>52</v>
      </c>
      <c r="B16" s="46" t="s">
        <v>53</v>
      </c>
      <c r="C16" s="46" t="s">
        <v>54</v>
      </c>
    </row>
    <row r="17" spans="1:3" ht="13.5" customHeight="1" x14ac:dyDescent="0.3">
      <c r="A17" s="46" t="s">
        <v>55</v>
      </c>
      <c r="B17" s="46">
        <v>1000</v>
      </c>
      <c r="C17" s="46" t="s">
        <v>56</v>
      </c>
    </row>
    <row r="18" spans="1:3" ht="13.5" customHeight="1" x14ac:dyDescent="0.3">
      <c r="A18" s="46" t="s">
        <v>57</v>
      </c>
      <c r="B18" s="46">
        <v>2.4710000000000001</v>
      </c>
      <c r="C18" s="46" t="s">
        <v>58</v>
      </c>
    </row>
    <row r="19" spans="1:3" ht="13.5" customHeight="1" x14ac:dyDescent="0.3">
      <c r="A19" s="46" t="s">
        <v>59</v>
      </c>
      <c r="B19" s="46">
        <v>33000</v>
      </c>
      <c r="C19" s="46" t="s">
        <v>60</v>
      </c>
    </row>
    <row r="20" spans="1:3" ht="13.5" customHeight="1" x14ac:dyDescent="0.3">
      <c r="A20" s="46" t="s">
        <v>59</v>
      </c>
      <c r="B20" s="46">
        <v>0.74570000000000003</v>
      </c>
      <c r="C20" s="46" t="s">
        <v>61</v>
      </c>
    </row>
    <row r="21" spans="1:3" ht="13.5" customHeight="1" x14ac:dyDescent="0.3">
      <c r="A21" s="46" t="s">
        <v>24</v>
      </c>
      <c r="B21" s="46">
        <v>2.54</v>
      </c>
      <c r="C21" s="46" t="s">
        <v>34</v>
      </c>
    </row>
    <row r="22" spans="1:3" ht="13.5" customHeight="1" x14ac:dyDescent="0.3">
      <c r="A22" s="46" t="s">
        <v>51</v>
      </c>
      <c r="B22" s="46">
        <v>0.62339999999999995</v>
      </c>
      <c r="C22" s="46" t="s">
        <v>50</v>
      </c>
    </row>
    <row r="23" spans="1:3" ht="13.5" customHeight="1" x14ac:dyDescent="0.3">
      <c r="A23" s="46" t="s">
        <v>62</v>
      </c>
      <c r="B23" s="46">
        <v>2.2050000000000001</v>
      </c>
      <c r="C23" s="46" t="s">
        <v>54</v>
      </c>
    </row>
    <row r="24" spans="1:3" ht="13.5" customHeight="1" x14ac:dyDescent="0.3">
      <c r="A24" s="46" t="s">
        <v>61</v>
      </c>
      <c r="B24" s="46">
        <v>1.341</v>
      </c>
      <c r="C24" s="46" t="s">
        <v>59</v>
      </c>
    </row>
    <row r="25" spans="1:3" ht="13.5" customHeight="1" x14ac:dyDescent="0.3">
      <c r="A25" s="46" t="s">
        <v>63</v>
      </c>
      <c r="B25" s="46" t="s">
        <v>64</v>
      </c>
      <c r="C25" s="46" t="s">
        <v>65</v>
      </c>
    </row>
    <row r="26" spans="1:3" ht="13.5" customHeight="1" x14ac:dyDescent="0.3">
      <c r="A26" s="46" t="s">
        <v>41</v>
      </c>
      <c r="B26" s="46">
        <v>103</v>
      </c>
      <c r="C26" s="46" t="s">
        <v>39</v>
      </c>
    </row>
    <row r="27" spans="1:3" ht="13.5" customHeight="1" x14ac:dyDescent="0.3">
      <c r="A27" s="46" t="s">
        <v>41</v>
      </c>
      <c r="B27" s="46">
        <v>3.5310000000000001E-2</v>
      </c>
      <c r="C27" s="46" t="s">
        <v>40</v>
      </c>
    </row>
    <row r="28" spans="1:3" ht="13.5" customHeight="1" x14ac:dyDescent="0.3">
      <c r="A28" s="46" t="s">
        <v>41</v>
      </c>
      <c r="B28" s="46">
        <v>0.26419999999999999</v>
      </c>
      <c r="C28" s="46" t="s">
        <v>32</v>
      </c>
    </row>
    <row r="29" spans="1:3" ht="13.5" customHeight="1" x14ac:dyDescent="0.3">
      <c r="A29" s="46" t="s">
        <v>35</v>
      </c>
      <c r="B29" s="46">
        <v>3.2810000000000001</v>
      </c>
      <c r="C29" s="46" t="s">
        <v>33</v>
      </c>
    </row>
    <row r="30" spans="1:3" ht="13.5" customHeight="1" x14ac:dyDescent="0.3">
      <c r="A30" s="46" t="s">
        <v>66</v>
      </c>
      <c r="B30" s="46">
        <v>1</v>
      </c>
      <c r="C30" s="46" t="s">
        <v>56</v>
      </c>
    </row>
    <row r="31" spans="1:3" ht="13.5" customHeight="1" x14ac:dyDescent="0.3">
      <c r="A31" s="46" t="s">
        <v>67</v>
      </c>
      <c r="B31" s="46">
        <v>1.5472300000000001</v>
      </c>
      <c r="C31" s="46" t="s">
        <v>46</v>
      </c>
    </row>
    <row r="32" spans="1:3" ht="13.5" customHeight="1" x14ac:dyDescent="0.3">
      <c r="A32" s="46" t="s">
        <v>56</v>
      </c>
      <c r="B32" s="46">
        <v>8.3450000000000006</v>
      </c>
      <c r="C32" s="46" t="s">
        <v>68</v>
      </c>
    </row>
    <row r="33" spans="1:3" ht="13.5" customHeight="1" x14ac:dyDescent="0.3">
      <c r="A33" s="46" t="s">
        <v>54</v>
      </c>
      <c r="B33" s="46">
        <v>453.50240000000002</v>
      </c>
      <c r="C33" s="46" t="s">
        <v>52</v>
      </c>
    </row>
    <row r="34" spans="1:3" ht="13.5" customHeight="1" x14ac:dyDescent="0.3">
      <c r="A34" s="46" t="s">
        <v>43</v>
      </c>
      <c r="B34" s="46">
        <v>0.1198</v>
      </c>
      <c r="C34" s="46" t="s">
        <v>32</v>
      </c>
    </row>
    <row r="35" spans="1:3" ht="13.5" customHeight="1" x14ac:dyDescent="0.3">
      <c r="A35" s="46" t="s">
        <v>38</v>
      </c>
      <c r="B35" s="46">
        <v>2.31</v>
      </c>
      <c r="C35" s="46" t="s">
        <v>36</v>
      </c>
    </row>
    <row r="36" spans="1:3" ht="13.5" customHeight="1" x14ac:dyDescent="0.3">
      <c r="A36" s="46" t="s">
        <v>38</v>
      </c>
      <c r="B36" s="46">
        <v>2.036</v>
      </c>
      <c r="C36" s="46" t="s">
        <v>69</v>
      </c>
    </row>
    <row r="37" spans="1:3" ht="13.5" customHeight="1" x14ac:dyDescent="0.3">
      <c r="A37" s="46" t="s">
        <v>70</v>
      </c>
      <c r="B37" s="46">
        <v>1.8</v>
      </c>
      <c r="C37" s="46" t="s">
        <v>71</v>
      </c>
    </row>
    <row r="38" spans="1:3" ht="13.5" customHeight="1" x14ac:dyDescent="0.3">
      <c r="A38" s="46" t="s">
        <v>72</v>
      </c>
      <c r="B38" s="46" t="s">
        <v>73</v>
      </c>
      <c r="C38" s="46" t="s">
        <v>74</v>
      </c>
    </row>
  </sheetData>
  <sheetProtection password="F31D" sheet="1" objects="1" scenarios="1" formatCells="0" selectLockedCells="1" sort="0"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P115"/>
  <sheetViews>
    <sheetView workbookViewId="0">
      <selection activeCell="K2" sqref="K2:K501"/>
    </sheetView>
  </sheetViews>
  <sheetFormatPr defaultRowHeight="14.4" x14ac:dyDescent="0.3"/>
  <cols>
    <col min="1" max="1" width="8.88671875" style="123"/>
    <col min="2" max="2" width="9.44140625" style="123" bestFit="1" customWidth="1"/>
    <col min="3" max="3" width="7.21875" style="123" bestFit="1" customWidth="1"/>
    <col min="4" max="4" width="6.44140625" style="126" bestFit="1" customWidth="1"/>
    <col min="5" max="5" width="22.88671875" style="123" customWidth="1"/>
    <col min="6" max="6" width="5.5546875" style="123" bestFit="1" customWidth="1"/>
    <col min="7" max="8" width="8.88671875" style="123"/>
    <col min="9" max="9" width="16.21875" style="123" customWidth="1"/>
    <col min="10" max="10" width="8.88671875" style="123"/>
    <col min="11" max="11" width="11.109375" style="123" bestFit="1" customWidth="1"/>
    <col min="12" max="16384" width="8.88671875" style="123"/>
  </cols>
  <sheetData>
    <row r="1" spans="1:16" x14ac:dyDescent="0.3">
      <c r="A1" s="124" t="s">
        <v>540</v>
      </c>
      <c r="B1" s="124" t="s">
        <v>538</v>
      </c>
      <c r="C1" s="124" t="s">
        <v>537</v>
      </c>
      <c r="D1" s="125" t="s">
        <v>536</v>
      </c>
      <c r="E1" s="124" t="s">
        <v>539</v>
      </c>
      <c r="F1" s="124" t="s">
        <v>288</v>
      </c>
      <c r="I1" s="124" t="s">
        <v>537</v>
      </c>
      <c r="J1" s="124" t="s">
        <v>594</v>
      </c>
      <c r="K1" s="124" t="s">
        <v>539</v>
      </c>
      <c r="L1" s="125" t="s">
        <v>536</v>
      </c>
      <c r="O1" s="124" t="s">
        <v>537</v>
      </c>
      <c r="P1" s="125" t="s">
        <v>536</v>
      </c>
    </row>
    <row r="2" spans="1:16" ht="13.8" customHeight="1" x14ac:dyDescent="0.3">
      <c r="A2" s="123" t="s">
        <v>541</v>
      </c>
      <c r="B2" s="123" t="s">
        <v>75</v>
      </c>
      <c r="C2" s="123">
        <v>0</v>
      </c>
      <c r="D2" s="126">
        <v>0</v>
      </c>
      <c r="E2" s="123" t="str">
        <f>A2&amp;"_"&amp;B2&amp;"_"&amp;C2&amp;"_"&amp;D2</f>
        <v>No_Horizontal_0_0</v>
      </c>
      <c r="F2" s="123">
        <v>0</v>
      </c>
      <c r="I2" s="123">
        <v>0</v>
      </c>
      <c r="J2" s="123">
        <v>1</v>
      </c>
      <c r="K2" s="123" t="str">
        <f>J2&amp;"-"&amp;I2</f>
        <v>1-0</v>
      </c>
      <c r="L2" s="126">
        <v>0</v>
      </c>
      <c r="N2" s="123">
        <v>1</v>
      </c>
      <c r="O2" s="123" t="str">
        <f>IF('2.Energy Consumption'!$F$67=0,0,'2.Energy Consumption'!$F$68)</f>
        <v>Vertical</v>
      </c>
      <c r="P2" s="123">
        <f t="shared" ref="P2:P28" si="0">IFERROR(VLOOKUP(N2&amp;"-"&amp;O2,K:L,2,0),"")</f>
        <v>5</v>
      </c>
    </row>
    <row r="3" spans="1:16" x14ac:dyDescent="0.3">
      <c r="A3" s="123" t="s">
        <v>541</v>
      </c>
      <c r="B3" s="123" t="s">
        <v>75</v>
      </c>
      <c r="C3" s="123">
        <v>12</v>
      </c>
      <c r="D3" s="126">
        <v>5</v>
      </c>
      <c r="E3" s="123" t="str">
        <f t="shared" ref="E3:E66" si="1">A3&amp;"_"&amp;B3&amp;"_"&amp;C3&amp;"_"&amp;D3</f>
        <v>No_Horizontal_12_5</v>
      </c>
      <c r="F3" s="123">
        <v>0.72</v>
      </c>
      <c r="I3" s="123" t="s">
        <v>75</v>
      </c>
      <c r="J3" s="123">
        <v>1</v>
      </c>
      <c r="K3" s="123" t="str">
        <f t="shared" ref="K3:K25" si="2">J3&amp;"-"&amp;I3</f>
        <v>1-Horizontal</v>
      </c>
      <c r="L3" s="126">
        <v>5</v>
      </c>
      <c r="N3" s="123">
        <v>2</v>
      </c>
      <c r="O3" s="123" t="str">
        <f>IF('2.Energy Consumption'!$F$67=0,0,'2.Energy Consumption'!$F$68)</f>
        <v>Vertical</v>
      </c>
      <c r="P3" s="123">
        <f t="shared" si="0"/>
        <v>7.5</v>
      </c>
    </row>
    <row r="4" spans="1:16" x14ac:dyDescent="0.3">
      <c r="A4" s="123" t="s">
        <v>541</v>
      </c>
      <c r="B4" s="123" t="s">
        <v>75</v>
      </c>
      <c r="C4" s="123">
        <v>12</v>
      </c>
      <c r="D4" s="126">
        <v>7.5</v>
      </c>
      <c r="E4" s="123" t="str">
        <f t="shared" si="1"/>
        <v>No_Horizontal_12_7.5</v>
      </c>
      <c r="F4" s="123">
        <v>0.71</v>
      </c>
      <c r="I4" s="123" t="s">
        <v>75</v>
      </c>
      <c r="J4" s="123">
        <v>2</v>
      </c>
      <c r="K4" s="123" t="str">
        <f t="shared" si="2"/>
        <v>2-Horizontal</v>
      </c>
      <c r="L4" s="126">
        <v>7.5</v>
      </c>
      <c r="N4" s="123">
        <v>3</v>
      </c>
      <c r="O4" s="123" t="str">
        <f>IF('2.Energy Consumption'!$F$67=0,0,'2.Energy Consumption'!$F$68)</f>
        <v>Vertical</v>
      </c>
      <c r="P4" s="123">
        <f t="shared" si="0"/>
        <v>10</v>
      </c>
    </row>
    <row r="5" spans="1:16" x14ac:dyDescent="0.3">
      <c r="A5" s="123" t="s">
        <v>541</v>
      </c>
      <c r="B5" s="123" t="s">
        <v>75</v>
      </c>
      <c r="C5" s="123">
        <v>12</v>
      </c>
      <c r="D5" s="126">
        <v>10</v>
      </c>
      <c r="E5" s="123" t="str">
        <f t="shared" si="1"/>
        <v>No_Horizontal_12_10</v>
      </c>
      <c r="F5" s="123">
        <v>0.71</v>
      </c>
      <c r="I5" s="123" t="s">
        <v>75</v>
      </c>
      <c r="J5" s="123">
        <v>3</v>
      </c>
      <c r="K5" s="123" t="str">
        <f t="shared" si="2"/>
        <v>3-Horizontal</v>
      </c>
      <c r="L5" s="126">
        <v>10</v>
      </c>
      <c r="N5" s="123">
        <v>4</v>
      </c>
      <c r="O5" s="123" t="str">
        <f>IF('2.Energy Consumption'!$F$67=0,0,'2.Energy Consumption'!$F$68)</f>
        <v>Vertical</v>
      </c>
      <c r="P5" s="123">
        <f t="shared" si="0"/>
        <v>15</v>
      </c>
    </row>
    <row r="6" spans="1:16" x14ac:dyDescent="0.3">
      <c r="A6" s="123" t="s">
        <v>541</v>
      </c>
      <c r="B6" s="123" t="s">
        <v>75</v>
      </c>
      <c r="C6" s="123">
        <v>12</v>
      </c>
      <c r="D6" s="126">
        <v>15</v>
      </c>
      <c r="E6" s="123" t="str">
        <f t="shared" si="1"/>
        <v>No_Horizontal_12_15</v>
      </c>
      <c r="F6" s="123">
        <v>0.71</v>
      </c>
      <c r="I6" s="123" t="s">
        <v>75</v>
      </c>
      <c r="J6" s="123">
        <v>4</v>
      </c>
      <c r="K6" s="123" t="str">
        <f t="shared" si="2"/>
        <v>4-Horizontal</v>
      </c>
      <c r="L6" s="126">
        <v>15</v>
      </c>
      <c r="N6" s="123">
        <v>5</v>
      </c>
      <c r="O6" s="123" t="str">
        <f>IF('2.Energy Consumption'!$F$67=0,0,'2.Energy Consumption'!$F$68)</f>
        <v>Vertical</v>
      </c>
      <c r="P6" s="123">
        <f t="shared" si="0"/>
        <v>20</v>
      </c>
    </row>
    <row r="7" spans="1:16" x14ac:dyDescent="0.3">
      <c r="A7" s="123" t="s">
        <v>541</v>
      </c>
      <c r="B7" s="123" t="s">
        <v>75</v>
      </c>
      <c r="C7" s="123">
        <v>24</v>
      </c>
      <c r="D7" s="126">
        <v>5</v>
      </c>
      <c r="E7" s="123" t="str">
        <f t="shared" si="1"/>
        <v>No_Horizontal_24_5</v>
      </c>
      <c r="F7" s="123">
        <v>0.7</v>
      </c>
      <c r="I7" s="123" t="s">
        <v>76</v>
      </c>
      <c r="J7" s="123">
        <v>1</v>
      </c>
      <c r="K7" s="123" t="str">
        <f t="shared" si="2"/>
        <v>1-Vertical</v>
      </c>
      <c r="L7" s="126">
        <v>5</v>
      </c>
      <c r="N7" s="123">
        <v>6</v>
      </c>
      <c r="O7" s="123" t="str">
        <f>IF('2.Energy Consumption'!$F$67=0,0,'2.Energy Consumption'!$F$68)</f>
        <v>Vertical</v>
      </c>
      <c r="P7" s="123">
        <f t="shared" si="0"/>
        <v>25</v>
      </c>
    </row>
    <row r="8" spans="1:16" x14ac:dyDescent="0.3">
      <c r="A8" s="123" t="s">
        <v>541</v>
      </c>
      <c r="B8" s="123" t="s">
        <v>75</v>
      </c>
      <c r="C8" s="123">
        <v>24</v>
      </c>
      <c r="D8" s="126">
        <v>7.5</v>
      </c>
      <c r="E8" s="123" t="str">
        <f t="shared" si="1"/>
        <v>No_Horizontal_24_7.5</v>
      </c>
      <c r="F8" s="123">
        <v>0.7</v>
      </c>
      <c r="I8" s="123" t="s">
        <v>76</v>
      </c>
      <c r="J8" s="123">
        <v>2</v>
      </c>
      <c r="K8" s="123" t="str">
        <f t="shared" si="2"/>
        <v>2-Vertical</v>
      </c>
      <c r="L8" s="126">
        <v>7.5</v>
      </c>
      <c r="N8" s="123">
        <v>7</v>
      </c>
      <c r="O8" s="123" t="str">
        <f>IF('2.Energy Consumption'!$F$67=0,0,'2.Energy Consumption'!$F$68)</f>
        <v>Vertical</v>
      </c>
      <c r="P8" s="123">
        <f t="shared" si="0"/>
        <v>30</v>
      </c>
    </row>
    <row r="9" spans="1:16" x14ac:dyDescent="0.3">
      <c r="A9" s="123" t="s">
        <v>541</v>
      </c>
      <c r="B9" s="123" t="s">
        <v>75</v>
      </c>
      <c r="C9" s="123">
        <v>24</v>
      </c>
      <c r="D9" s="126">
        <v>10</v>
      </c>
      <c r="E9" s="123" t="str">
        <f t="shared" si="1"/>
        <v>No_Horizontal_24_10</v>
      </c>
      <c r="F9" s="123">
        <v>0.7</v>
      </c>
      <c r="I9" s="123" t="s">
        <v>76</v>
      </c>
      <c r="J9" s="123">
        <v>3</v>
      </c>
      <c r="K9" s="123" t="str">
        <f t="shared" si="2"/>
        <v>3-Vertical</v>
      </c>
      <c r="L9" s="126">
        <v>10</v>
      </c>
      <c r="N9" s="123">
        <v>8</v>
      </c>
      <c r="O9" s="123" t="str">
        <f>IF('2.Energy Consumption'!$F$67=0,0,'2.Energy Consumption'!$F$68)</f>
        <v>Vertical</v>
      </c>
      <c r="P9" s="123" t="str">
        <f t="shared" si="0"/>
        <v/>
      </c>
    </row>
    <row r="10" spans="1:16" x14ac:dyDescent="0.3">
      <c r="A10" s="123" t="s">
        <v>541</v>
      </c>
      <c r="B10" s="123" t="s">
        <v>75</v>
      </c>
      <c r="C10" s="123">
        <v>24</v>
      </c>
      <c r="D10" s="126">
        <v>15</v>
      </c>
      <c r="E10" s="123" t="str">
        <f t="shared" si="1"/>
        <v>No_Horizontal_24_15</v>
      </c>
      <c r="F10" s="123">
        <v>0.69</v>
      </c>
      <c r="I10" s="123" t="s">
        <v>76</v>
      </c>
      <c r="J10" s="123">
        <v>4</v>
      </c>
      <c r="K10" s="123" t="str">
        <f t="shared" si="2"/>
        <v>4-Vertical</v>
      </c>
      <c r="L10" s="126">
        <v>15</v>
      </c>
      <c r="N10" s="123">
        <v>9</v>
      </c>
      <c r="O10" s="123" t="str">
        <f>IF('2.Energy Consumption'!$F$67=0,0,'2.Energy Consumption'!$F$68)</f>
        <v>Vertical</v>
      </c>
      <c r="P10" s="123" t="str">
        <f t="shared" si="0"/>
        <v/>
      </c>
    </row>
    <row r="11" spans="1:16" x14ac:dyDescent="0.3">
      <c r="A11" s="123" t="s">
        <v>541</v>
      </c>
      <c r="B11" s="123" t="s">
        <v>75</v>
      </c>
      <c r="C11" s="123">
        <v>36</v>
      </c>
      <c r="D11" s="126">
        <v>5</v>
      </c>
      <c r="E11" s="123" t="str">
        <f t="shared" si="1"/>
        <v>No_Horizontal_36_5</v>
      </c>
      <c r="F11" s="123">
        <v>0.68</v>
      </c>
      <c r="I11" s="123" t="s">
        <v>76</v>
      </c>
      <c r="J11" s="123">
        <v>5</v>
      </c>
      <c r="K11" s="123" t="str">
        <f t="shared" si="2"/>
        <v>5-Vertical</v>
      </c>
      <c r="L11" s="126">
        <v>20</v>
      </c>
      <c r="N11" s="123">
        <v>10</v>
      </c>
      <c r="O11" s="123" t="str">
        <f>IF('2.Energy Consumption'!$F$67=0,0,'2.Energy Consumption'!$F$68)</f>
        <v>Vertical</v>
      </c>
      <c r="P11" s="123" t="str">
        <f t="shared" si="0"/>
        <v/>
      </c>
    </row>
    <row r="12" spans="1:16" x14ac:dyDescent="0.3">
      <c r="A12" s="123" t="s">
        <v>541</v>
      </c>
      <c r="B12" s="123" t="s">
        <v>75</v>
      </c>
      <c r="C12" s="123">
        <v>36</v>
      </c>
      <c r="D12" s="126">
        <v>7.5</v>
      </c>
      <c r="E12" s="123" t="str">
        <f t="shared" si="1"/>
        <v>No_Horizontal_36_7.5</v>
      </c>
      <c r="F12" s="123">
        <v>0.67</v>
      </c>
      <c r="I12" s="123" t="s">
        <v>76</v>
      </c>
      <c r="J12" s="123">
        <v>6</v>
      </c>
      <c r="K12" s="123" t="str">
        <f t="shared" si="2"/>
        <v>6-Vertical</v>
      </c>
      <c r="L12" s="126">
        <v>25</v>
      </c>
      <c r="N12" s="123">
        <v>11</v>
      </c>
      <c r="O12" s="123" t="str">
        <f>IF('2.Energy Consumption'!$F$67=0,0,'2.Energy Consumption'!$F$68)</f>
        <v>Vertical</v>
      </c>
      <c r="P12" s="123" t="str">
        <f t="shared" si="0"/>
        <v/>
      </c>
    </row>
    <row r="13" spans="1:16" x14ac:dyDescent="0.3">
      <c r="A13" s="123" t="s">
        <v>541</v>
      </c>
      <c r="B13" s="123" t="s">
        <v>75</v>
      </c>
      <c r="C13" s="123">
        <v>36</v>
      </c>
      <c r="D13" s="126">
        <v>10</v>
      </c>
      <c r="E13" s="123" t="str">
        <f t="shared" si="1"/>
        <v>No_Horizontal_36_10</v>
      </c>
      <c r="F13" s="123">
        <v>0.66</v>
      </c>
      <c r="I13" s="123" t="s">
        <v>76</v>
      </c>
      <c r="J13" s="123">
        <v>7</v>
      </c>
      <c r="K13" s="123" t="str">
        <f t="shared" si="2"/>
        <v>7-Vertical</v>
      </c>
      <c r="L13" s="126">
        <v>30</v>
      </c>
      <c r="N13" s="123">
        <v>12</v>
      </c>
      <c r="O13" s="123" t="str">
        <f>IF('2.Energy Consumption'!$F$67=0,0,'2.Energy Consumption'!$F$68)</f>
        <v>Vertical</v>
      </c>
      <c r="P13" s="123" t="str">
        <f t="shared" si="0"/>
        <v/>
      </c>
    </row>
    <row r="14" spans="1:16" x14ac:dyDescent="0.3">
      <c r="A14" s="123" t="s">
        <v>541</v>
      </c>
      <c r="B14" s="123" t="s">
        <v>75</v>
      </c>
      <c r="C14" s="123">
        <v>36</v>
      </c>
      <c r="D14" s="126">
        <v>15</v>
      </c>
      <c r="E14" s="123" t="str">
        <f t="shared" si="1"/>
        <v>No_Horizontal_36_15</v>
      </c>
      <c r="F14" s="123">
        <v>0.66</v>
      </c>
      <c r="I14" s="123" t="s">
        <v>535</v>
      </c>
      <c r="J14" s="123">
        <v>1</v>
      </c>
      <c r="K14" s="123" t="str">
        <f t="shared" si="2"/>
        <v>1-full slab</v>
      </c>
      <c r="L14" s="126">
        <v>5</v>
      </c>
      <c r="N14" s="123">
        <v>13</v>
      </c>
      <c r="O14" s="123" t="str">
        <f>IF('2.Energy Consumption'!$F$67=0,0,'2.Energy Consumption'!$F$68)</f>
        <v>Vertical</v>
      </c>
      <c r="P14" s="123" t="str">
        <f t="shared" si="0"/>
        <v/>
      </c>
    </row>
    <row r="15" spans="1:16" x14ac:dyDescent="0.3">
      <c r="A15" s="123" t="s">
        <v>541</v>
      </c>
      <c r="B15" s="123" t="s">
        <v>75</v>
      </c>
      <c r="C15" s="123">
        <v>48</v>
      </c>
      <c r="D15" s="126">
        <v>5</v>
      </c>
      <c r="E15" s="123" t="str">
        <f t="shared" si="1"/>
        <v>No_Horizontal_48_5</v>
      </c>
      <c r="F15" s="123">
        <v>0.67</v>
      </c>
      <c r="I15" s="123" t="s">
        <v>535</v>
      </c>
      <c r="J15" s="123">
        <v>2</v>
      </c>
      <c r="K15" s="123" t="str">
        <f t="shared" si="2"/>
        <v>2-full slab</v>
      </c>
      <c r="L15" s="126">
        <v>7.5</v>
      </c>
      <c r="N15" s="123">
        <v>14</v>
      </c>
      <c r="O15" s="123" t="str">
        <f>IF('2.Energy Consumption'!$F$67=0,0,'2.Energy Consumption'!$F$68)</f>
        <v>Vertical</v>
      </c>
      <c r="P15" s="123" t="str">
        <f t="shared" si="0"/>
        <v/>
      </c>
    </row>
    <row r="16" spans="1:16" x14ac:dyDescent="0.3">
      <c r="A16" s="123" t="s">
        <v>541</v>
      </c>
      <c r="B16" s="123" t="s">
        <v>75</v>
      </c>
      <c r="C16" s="123">
        <v>48</v>
      </c>
      <c r="D16" s="126">
        <v>7.5</v>
      </c>
      <c r="E16" s="123" t="str">
        <f t="shared" si="1"/>
        <v>No_Horizontal_48_7.5</v>
      </c>
      <c r="F16" s="123">
        <v>0.65</v>
      </c>
      <c r="I16" s="123" t="s">
        <v>535</v>
      </c>
      <c r="J16" s="123">
        <v>3</v>
      </c>
      <c r="K16" s="123" t="str">
        <f t="shared" si="2"/>
        <v>3-full slab</v>
      </c>
      <c r="L16" s="126">
        <v>10</v>
      </c>
      <c r="N16" s="123">
        <v>15</v>
      </c>
      <c r="O16" s="123" t="str">
        <f>IF('2.Energy Consumption'!$F$67=0,0,'2.Energy Consumption'!$F$68)</f>
        <v>Vertical</v>
      </c>
      <c r="P16" s="123" t="str">
        <f t="shared" si="0"/>
        <v/>
      </c>
    </row>
    <row r="17" spans="1:16" x14ac:dyDescent="0.3">
      <c r="A17" s="123" t="s">
        <v>541</v>
      </c>
      <c r="B17" s="123" t="s">
        <v>75</v>
      </c>
      <c r="C17" s="123">
        <v>48</v>
      </c>
      <c r="D17" s="126">
        <v>10</v>
      </c>
      <c r="E17" s="123" t="str">
        <f t="shared" si="1"/>
        <v>No_Horizontal_48_10</v>
      </c>
      <c r="F17" s="123">
        <v>0.64</v>
      </c>
      <c r="I17" s="123" t="s">
        <v>535</v>
      </c>
      <c r="J17" s="123">
        <v>4</v>
      </c>
      <c r="K17" s="123" t="str">
        <f t="shared" si="2"/>
        <v>4-full slab</v>
      </c>
      <c r="L17" s="126">
        <v>15</v>
      </c>
      <c r="N17" s="123">
        <v>16</v>
      </c>
      <c r="O17" s="123" t="str">
        <f>IF('2.Energy Consumption'!$F$67=0,0,'2.Energy Consumption'!$F$68)</f>
        <v>Vertical</v>
      </c>
      <c r="P17" s="123" t="str">
        <f t="shared" si="0"/>
        <v/>
      </c>
    </row>
    <row r="18" spans="1:16" x14ac:dyDescent="0.3">
      <c r="A18" s="123" t="s">
        <v>541</v>
      </c>
      <c r="B18" s="123" t="s">
        <v>75</v>
      </c>
      <c r="C18" s="123">
        <v>48</v>
      </c>
      <c r="D18" s="126">
        <v>15</v>
      </c>
      <c r="E18" s="123" t="str">
        <f t="shared" si="1"/>
        <v>No_Horizontal_48_15</v>
      </c>
      <c r="F18" s="123">
        <v>0.63</v>
      </c>
      <c r="I18" s="123" t="s">
        <v>535</v>
      </c>
      <c r="J18" s="123">
        <v>5</v>
      </c>
      <c r="K18" s="123" t="str">
        <f t="shared" si="2"/>
        <v>5-full slab</v>
      </c>
      <c r="L18" s="126">
        <v>20</v>
      </c>
      <c r="N18" s="123">
        <v>17</v>
      </c>
      <c r="O18" s="123" t="str">
        <f>IF('2.Energy Consumption'!$F$67=0,0,'2.Energy Consumption'!$F$68)</f>
        <v>Vertical</v>
      </c>
      <c r="P18" s="123" t="str">
        <f t="shared" si="0"/>
        <v/>
      </c>
    </row>
    <row r="19" spans="1:16" x14ac:dyDescent="0.3">
      <c r="A19" s="123" t="s">
        <v>541</v>
      </c>
      <c r="B19" s="123" t="s">
        <v>76</v>
      </c>
      <c r="C19" s="123">
        <v>12</v>
      </c>
      <c r="D19" s="126">
        <v>5</v>
      </c>
      <c r="E19" s="123" t="str">
        <f t="shared" si="1"/>
        <v>No_Vertical_12_5</v>
      </c>
      <c r="F19" s="123">
        <v>0.61</v>
      </c>
      <c r="I19" s="123" t="s">
        <v>535</v>
      </c>
      <c r="J19" s="123">
        <v>6</v>
      </c>
      <c r="K19" s="123" t="str">
        <f t="shared" si="2"/>
        <v>6-full slab</v>
      </c>
      <c r="L19" s="126">
        <v>25</v>
      </c>
      <c r="N19" s="123">
        <v>18</v>
      </c>
      <c r="O19" s="123" t="str">
        <f>IF('2.Energy Consumption'!$F$67=0,0,'2.Energy Consumption'!$F$68)</f>
        <v>Vertical</v>
      </c>
      <c r="P19" s="123" t="str">
        <f t="shared" si="0"/>
        <v/>
      </c>
    </row>
    <row r="20" spans="1:16" x14ac:dyDescent="0.3">
      <c r="A20" s="123" t="s">
        <v>541</v>
      </c>
      <c r="B20" s="123" t="s">
        <v>76</v>
      </c>
      <c r="C20" s="123">
        <v>12</v>
      </c>
      <c r="D20" s="126">
        <v>7.5</v>
      </c>
      <c r="E20" s="123" t="str">
        <f t="shared" si="1"/>
        <v>No_Vertical_12_7.5</v>
      </c>
      <c r="F20" s="123">
        <v>0.6</v>
      </c>
      <c r="I20" s="123" t="s">
        <v>535</v>
      </c>
      <c r="J20" s="123">
        <v>7</v>
      </c>
      <c r="K20" s="123" t="str">
        <f t="shared" si="2"/>
        <v>7-full slab</v>
      </c>
      <c r="L20" s="126">
        <v>30</v>
      </c>
      <c r="N20" s="123">
        <v>19</v>
      </c>
      <c r="O20" s="123" t="str">
        <f>IF('2.Energy Consumption'!$F$67=0,0,'2.Energy Consumption'!$F$68)</f>
        <v>Vertical</v>
      </c>
      <c r="P20" s="123" t="str">
        <f t="shared" si="0"/>
        <v/>
      </c>
    </row>
    <row r="21" spans="1:16" x14ac:dyDescent="0.3">
      <c r="A21" s="123" t="s">
        <v>541</v>
      </c>
      <c r="B21" s="123" t="s">
        <v>76</v>
      </c>
      <c r="C21" s="123">
        <v>12</v>
      </c>
      <c r="D21" s="126">
        <v>10</v>
      </c>
      <c r="E21" s="123" t="str">
        <f t="shared" si="1"/>
        <v>No_Vertical_12_10</v>
      </c>
      <c r="F21" s="123">
        <v>0.57999999999999996</v>
      </c>
      <c r="I21" s="123" t="s">
        <v>535</v>
      </c>
      <c r="J21" s="123">
        <v>8</v>
      </c>
      <c r="K21" s="123" t="str">
        <f t="shared" si="2"/>
        <v>8-full slab</v>
      </c>
      <c r="L21" s="126">
        <v>35</v>
      </c>
      <c r="N21" s="123">
        <v>20</v>
      </c>
      <c r="O21" s="123" t="str">
        <f>IF('2.Energy Consumption'!$F$67=0,0,'2.Energy Consumption'!$F$68)</f>
        <v>Vertical</v>
      </c>
      <c r="P21" s="123" t="str">
        <f t="shared" si="0"/>
        <v/>
      </c>
    </row>
    <row r="22" spans="1:16" x14ac:dyDescent="0.3">
      <c r="A22" s="123" t="s">
        <v>541</v>
      </c>
      <c r="B22" s="123" t="s">
        <v>76</v>
      </c>
      <c r="C22" s="123">
        <v>12</v>
      </c>
      <c r="D22" s="126">
        <v>15</v>
      </c>
      <c r="E22" s="123" t="str">
        <f t="shared" si="1"/>
        <v>No_Vertical_12_15</v>
      </c>
      <c r="F22" s="123">
        <v>0.56999999999999995</v>
      </c>
      <c r="I22" s="123" t="s">
        <v>535</v>
      </c>
      <c r="J22" s="123">
        <v>9</v>
      </c>
      <c r="K22" s="123" t="str">
        <f t="shared" si="2"/>
        <v>9-full slab</v>
      </c>
      <c r="L22" s="126">
        <v>40</v>
      </c>
      <c r="N22" s="123">
        <v>21</v>
      </c>
      <c r="O22" s="123" t="str">
        <f>IF('2.Energy Consumption'!$F$67=0,0,'2.Energy Consumption'!$F$68)</f>
        <v>Vertical</v>
      </c>
      <c r="P22" s="123" t="str">
        <f t="shared" si="0"/>
        <v/>
      </c>
    </row>
    <row r="23" spans="1:16" x14ac:dyDescent="0.3">
      <c r="A23" s="123" t="s">
        <v>541</v>
      </c>
      <c r="B23" s="123" t="s">
        <v>76</v>
      </c>
      <c r="C23" s="123">
        <v>12</v>
      </c>
      <c r="D23" s="126">
        <v>20</v>
      </c>
      <c r="E23" s="123" t="str">
        <f t="shared" si="1"/>
        <v>No_Vertical_12_20</v>
      </c>
      <c r="F23" s="123">
        <v>0.56699999999999995</v>
      </c>
      <c r="I23" s="123" t="s">
        <v>535</v>
      </c>
      <c r="J23" s="123">
        <v>10</v>
      </c>
      <c r="K23" s="123" t="str">
        <f t="shared" si="2"/>
        <v>10-full slab</v>
      </c>
      <c r="L23" s="126">
        <v>45</v>
      </c>
      <c r="N23" s="123">
        <v>22</v>
      </c>
      <c r="O23" s="123" t="str">
        <f>IF('2.Energy Consumption'!$F$67=0,0,'2.Energy Consumption'!$F$68)</f>
        <v>Vertical</v>
      </c>
      <c r="P23" s="123" t="str">
        <f t="shared" si="0"/>
        <v/>
      </c>
    </row>
    <row r="24" spans="1:16" x14ac:dyDescent="0.3">
      <c r="A24" s="123" t="s">
        <v>541</v>
      </c>
      <c r="B24" s="123" t="s">
        <v>76</v>
      </c>
      <c r="C24" s="123">
        <v>12</v>
      </c>
      <c r="D24" s="126">
        <v>25</v>
      </c>
      <c r="E24" s="123" t="str">
        <f t="shared" si="1"/>
        <v>No_Vertical_12_25</v>
      </c>
      <c r="F24" s="123">
        <v>0.56499999999999995</v>
      </c>
      <c r="I24" s="123" t="s">
        <v>535</v>
      </c>
      <c r="J24" s="123">
        <v>11</v>
      </c>
      <c r="K24" s="123" t="str">
        <f t="shared" si="2"/>
        <v>11-full slab</v>
      </c>
      <c r="L24" s="126">
        <v>50</v>
      </c>
      <c r="N24" s="123">
        <v>23</v>
      </c>
      <c r="O24" s="123" t="str">
        <f>IF('2.Energy Consumption'!$F$67=0,0,'2.Energy Consumption'!$F$68)</f>
        <v>Vertical</v>
      </c>
      <c r="P24" s="123" t="str">
        <f t="shared" si="0"/>
        <v/>
      </c>
    </row>
    <row r="25" spans="1:16" x14ac:dyDescent="0.3">
      <c r="A25" s="123" t="s">
        <v>541</v>
      </c>
      <c r="B25" s="123" t="s">
        <v>76</v>
      </c>
      <c r="C25" s="123">
        <v>12</v>
      </c>
      <c r="D25" s="126">
        <v>30</v>
      </c>
      <c r="E25" s="123" t="str">
        <f t="shared" si="1"/>
        <v>No_Vertical_12_30</v>
      </c>
      <c r="F25" s="123">
        <v>0.56399999999999995</v>
      </c>
      <c r="I25" s="123" t="s">
        <v>535</v>
      </c>
      <c r="J25" s="123">
        <v>12</v>
      </c>
      <c r="K25" s="123" t="str">
        <f t="shared" si="2"/>
        <v>12-full slab</v>
      </c>
      <c r="L25" s="126">
        <v>55</v>
      </c>
      <c r="N25" s="123">
        <v>24</v>
      </c>
      <c r="O25" s="123" t="str">
        <f>IF('2.Energy Consumption'!$F$67=0,0,'2.Energy Consumption'!$F$68)</f>
        <v>Vertical</v>
      </c>
      <c r="P25" s="123" t="str">
        <f t="shared" si="0"/>
        <v/>
      </c>
    </row>
    <row r="26" spans="1:16" x14ac:dyDescent="0.3">
      <c r="A26" s="123" t="s">
        <v>541</v>
      </c>
      <c r="B26" s="123" t="s">
        <v>76</v>
      </c>
      <c r="C26" s="123">
        <v>24</v>
      </c>
      <c r="D26" s="126">
        <v>5</v>
      </c>
      <c r="E26" s="123" t="str">
        <f t="shared" si="1"/>
        <v>No_Vertical_24_5</v>
      </c>
      <c r="F26" s="123">
        <v>0.57999999999999996</v>
      </c>
      <c r="K26"/>
      <c r="L26"/>
      <c r="N26" s="123">
        <v>25</v>
      </c>
      <c r="O26" s="123" t="str">
        <f>IF('2.Energy Consumption'!$F$67=0,0,'2.Energy Consumption'!$F$68)</f>
        <v>Vertical</v>
      </c>
      <c r="P26" s="123" t="str">
        <f t="shared" si="0"/>
        <v/>
      </c>
    </row>
    <row r="27" spans="1:16" x14ac:dyDescent="0.3">
      <c r="A27" s="123" t="s">
        <v>541</v>
      </c>
      <c r="B27" s="123" t="s">
        <v>76</v>
      </c>
      <c r="C27" s="123">
        <v>24</v>
      </c>
      <c r="D27" s="126">
        <v>7.5</v>
      </c>
      <c r="E27" s="123" t="str">
        <f t="shared" si="1"/>
        <v>No_Vertical_24_7.5</v>
      </c>
      <c r="F27" s="123">
        <v>0.56000000000000005</v>
      </c>
      <c r="K27"/>
      <c r="L27"/>
      <c r="N27" s="123">
        <v>26</v>
      </c>
      <c r="O27" s="123" t="str">
        <f>IF('2.Energy Consumption'!$F$67=0,0,'2.Energy Consumption'!$F$68)</f>
        <v>Vertical</v>
      </c>
      <c r="P27" s="123" t="str">
        <f t="shared" si="0"/>
        <v/>
      </c>
    </row>
    <row r="28" spans="1:16" x14ac:dyDescent="0.3">
      <c r="A28" s="123" t="s">
        <v>541</v>
      </c>
      <c r="B28" s="123" t="s">
        <v>76</v>
      </c>
      <c r="C28" s="123">
        <v>24</v>
      </c>
      <c r="D28" s="126">
        <v>10</v>
      </c>
      <c r="E28" s="123" t="str">
        <f t="shared" si="1"/>
        <v>No_Vertical_24_10</v>
      </c>
      <c r="F28" s="123">
        <v>0.54</v>
      </c>
      <c r="K28"/>
      <c r="L28"/>
      <c r="N28" s="123">
        <v>27</v>
      </c>
      <c r="O28" s="123" t="str">
        <f>IF('2.Energy Consumption'!$F$67=0,0,'2.Energy Consumption'!$F$68)</f>
        <v>Vertical</v>
      </c>
      <c r="P28" s="123" t="str">
        <f t="shared" si="0"/>
        <v/>
      </c>
    </row>
    <row r="29" spans="1:16" x14ac:dyDescent="0.3">
      <c r="A29" s="123" t="s">
        <v>541</v>
      </c>
      <c r="B29" s="123" t="s">
        <v>76</v>
      </c>
      <c r="C29" s="123">
        <v>24</v>
      </c>
      <c r="D29" s="126">
        <v>15</v>
      </c>
      <c r="E29" s="123" t="str">
        <f t="shared" si="1"/>
        <v>No_Vertical_24_15</v>
      </c>
      <c r="F29" s="123">
        <v>0.52</v>
      </c>
      <c r="K29"/>
      <c r="L29"/>
    </row>
    <row r="30" spans="1:16" x14ac:dyDescent="0.3">
      <c r="A30" s="123" t="s">
        <v>541</v>
      </c>
      <c r="B30" s="123" t="s">
        <v>76</v>
      </c>
      <c r="C30" s="123">
        <v>24</v>
      </c>
      <c r="D30" s="126">
        <v>20</v>
      </c>
      <c r="E30" s="123" t="str">
        <f t="shared" si="1"/>
        <v>No_Vertical_24_20</v>
      </c>
      <c r="F30" s="123">
        <v>0.51</v>
      </c>
      <c r="K30"/>
      <c r="L30"/>
    </row>
    <row r="31" spans="1:16" x14ac:dyDescent="0.3">
      <c r="A31" s="123" t="s">
        <v>541</v>
      </c>
      <c r="B31" s="123" t="s">
        <v>76</v>
      </c>
      <c r="C31" s="123">
        <v>24</v>
      </c>
      <c r="D31" s="126">
        <v>25</v>
      </c>
      <c r="E31" s="123" t="str">
        <f t="shared" si="1"/>
        <v>No_Vertical_24_25</v>
      </c>
      <c r="F31" s="123">
        <v>0.505</v>
      </c>
      <c r="K31"/>
      <c r="L31"/>
    </row>
    <row r="32" spans="1:16" x14ac:dyDescent="0.3">
      <c r="A32" s="123" t="s">
        <v>541</v>
      </c>
      <c r="B32" s="123" t="s">
        <v>76</v>
      </c>
      <c r="C32" s="123">
        <v>24</v>
      </c>
      <c r="D32" s="126">
        <v>30</v>
      </c>
      <c r="E32" s="123" t="str">
        <f t="shared" si="1"/>
        <v>No_Vertical_24_30</v>
      </c>
      <c r="F32" s="123">
        <v>0.502</v>
      </c>
      <c r="K32"/>
      <c r="L32"/>
    </row>
    <row r="33" spans="1:12" x14ac:dyDescent="0.3">
      <c r="A33" s="123" t="s">
        <v>541</v>
      </c>
      <c r="B33" s="123" t="s">
        <v>76</v>
      </c>
      <c r="C33" s="123">
        <v>36</v>
      </c>
      <c r="D33" s="126">
        <v>5</v>
      </c>
      <c r="E33" s="123" t="str">
        <f t="shared" si="1"/>
        <v>No_Vertical_36_5</v>
      </c>
      <c r="F33" s="123">
        <v>0.56000000000000005</v>
      </c>
      <c r="K33"/>
      <c r="L33"/>
    </row>
    <row r="34" spans="1:12" x14ac:dyDescent="0.3">
      <c r="A34" s="123" t="s">
        <v>541</v>
      </c>
      <c r="B34" s="123" t="s">
        <v>76</v>
      </c>
      <c r="C34" s="123">
        <v>36</v>
      </c>
      <c r="D34" s="126">
        <v>7.5</v>
      </c>
      <c r="E34" s="123" t="str">
        <f t="shared" si="1"/>
        <v>No_Vertical_36_7.5</v>
      </c>
      <c r="F34" s="123">
        <v>0.53</v>
      </c>
      <c r="K34"/>
      <c r="L34"/>
    </row>
    <row r="35" spans="1:12" x14ac:dyDescent="0.3">
      <c r="A35" s="123" t="s">
        <v>541</v>
      </c>
      <c r="B35" s="123" t="s">
        <v>76</v>
      </c>
      <c r="C35" s="123">
        <v>36</v>
      </c>
      <c r="D35" s="126">
        <v>10</v>
      </c>
      <c r="E35" s="123" t="str">
        <f t="shared" si="1"/>
        <v>No_Vertical_36_10</v>
      </c>
      <c r="F35" s="123">
        <v>0.51</v>
      </c>
      <c r="K35"/>
      <c r="L35"/>
    </row>
    <row r="36" spans="1:12" x14ac:dyDescent="0.3">
      <c r="A36" s="123" t="s">
        <v>541</v>
      </c>
      <c r="B36" s="123" t="s">
        <v>76</v>
      </c>
      <c r="C36" s="123">
        <v>36</v>
      </c>
      <c r="D36" s="126">
        <v>15</v>
      </c>
      <c r="E36" s="123" t="str">
        <f t="shared" si="1"/>
        <v>No_Vertical_36_15</v>
      </c>
      <c r="F36" s="123">
        <v>0.48</v>
      </c>
      <c r="K36"/>
      <c r="L36"/>
    </row>
    <row r="37" spans="1:12" x14ac:dyDescent="0.3">
      <c r="A37" s="123" t="s">
        <v>541</v>
      </c>
      <c r="B37" s="123" t="s">
        <v>76</v>
      </c>
      <c r="C37" s="123">
        <v>36</v>
      </c>
      <c r="D37" s="126">
        <v>20</v>
      </c>
      <c r="E37" s="123" t="str">
        <f t="shared" si="1"/>
        <v>No_Vertical_36_20</v>
      </c>
      <c r="F37" s="123">
        <v>0.47199999999999998</v>
      </c>
      <c r="K37"/>
      <c r="L37"/>
    </row>
    <row r="38" spans="1:12" x14ac:dyDescent="0.3">
      <c r="A38" s="123" t="s">
        <v>541</v>
      </c>
      <c r="B38" s="123" t="s">
        <v>76</v>
      </c>
      <c r="C38" s="123">
        <v>36</v>
      </c>
      <c r="D38" s="126">
        <v>25</v>
      </c>
      <c r="E38" s="123" t="str">
        <f t="shared" si="1"/>
        <v>No_Vertical_36_25</v>
      </c>
      <c r="F38" s="123">
        <v>0.46400000000000002</v>
      </c>
      <c r="K38"/>
      <c r="L38"/>
    </row>
    <row r="39" spans="1:12" x14ac:dyDescent="0.3">
      <c r="A39" s="123" t="s">
        <v>541</v>
      </c>
      <c r="B39" s="123" t="s">
        <v>76</v>
      </c>
      <c r="C39" s="123">
        <v>36</v>
      </c>
      <c r="D39" s="126">
        <v>30</v>
      </c>
      <c r="E39" s="123" t="str">
        <f t="shared" si="1"/>
        <v>No_Vertical_36_30</v>
      </c>
      <c r="F39" s="123">
        <v>0.46</v>
      </c>
      <c r="K39"/>
      <c r="L39"/>
    </row>
    <row r="40" spans="1:12" x14ac:dyDescent="0.3">
      <c r="A40" s="123" t="s">
        <v>541</v>
      </c>
      <c r="B40" s="123" t="s">
        <v>76</v>
      </c>
      <c r="C40" s="123">
        <v>48</v>
      </c>
      <c r="D40" s="126">
        <v>5</v>
      </c>
      <c r="E40" s="123" t="str">
        <f t="shared" si="1"/>
        <v>No_Vertical_48_5</v>
      </c>
      <c r="F40" s="123">
        <v>0.54</v>
      </c>
      <c r="K40"/>
      <c r="L40"/>
    </row>
    <row r="41" spans="1:12" x14ac:dyDescent="0.3">
      <c r="A41" s="123" t="s">
        <v>541</v>
      </c>
      <c r="B41" s="123" t="s">
        <v>76</v>
      </c>
      <c r="C41" s="123">
        <v>48</v>
      </c>
      <c r="D41" s="126">
        <v>7.5</v>
      </c>
      <c r="E41" s="123" t="str">
        <f t="shared" si="1"/>
        <v>No_Vertical_48_7.5</v>
      </c>
      <c r="F41" s="123">
        <v>0.51</v>
      </c>
      <c r="K41"/>
      <c r="L41"/>
    </row>
    <row r="42" spans="1:12" x14ac:dyDescent="0.3">
      <c r="A42" s="123" t="s">
        <v>541</v>
      </c>
      <c r="B42" s="123" t="s">
        <v>76</v>
      </c>
      <c r="C42" s="123">
        <v>48</v>
      </c>
      <c r="D42" s="126">
        <v>10</v>
      </c>
      <c r="E42" s="123" t="str">
        <f t="shared" si="1"/>
        <v>No_Vertical_48_10</v>
      </c>
      <c r="F42" s="123">
        <v>0.48</v>
      </c>
    </row>
    <row r="43" spans="1:12" x14ac:dyDescent="0.3">
      <c r="A43" s="123" t="s">
        <v>541</v>
      </c>
      <c r="B43" s="123" t="s">
        <v>76</v>
      </c>
      <c r="C43" s="123">
        <v>48</v>
      </c>
      <c r="D43" s="126">
        <v>15</v>
      </c>
      <c r="E43" s="123" t="str">
        <f t="shared" si="1"/>
        <v>No_Vertical_48_15</v>
      </c>
      <c r="F43" s="123">
        <v>0.45</v>
      </c>
    </row>
    <row r="44" spans="1:12" x14ac:dyDescent="0.3">
      <c r="A44" s="123" t="s">
        <v>541</v>
      </c>
      <c r="B44" s="123" t="s">
        <v>76</v>
      </c>
      <c r="C44" s="123">
        <v>48</v>
      </c>
      <c r="D44" s="126">
        <v>20</v>
      </c>
      <c r="E44" s="123" t="str">
        <f t="shared" si="1"/>
        <v>No_Vertical_48_20</v>
      </c>
      <c r="F44" s="123">
        <v>0.434</v>
      </c>
    </row>
    <row r="45" spans="1:12" x14ac:dyDescent="0.3">
      <c r="A45" s="123" t="s">
        <v>541</v>
      </c>
      <c r="B45" s="123" t="s">
        <v>76</v>
      </c>
      <c r="C45" s="123">
        <v>48</v>
      </c>
      <c r="D45" s="126">
        <v>25</v>
      </c>
      <c r="E45" s="123" t="str">
        <f t="shared" si="1"/>
        <v>No_Vertical_48_25</v>
      </c>
      <c r="F45" s="123">
        <v>0.42399999999999999</v>
      </c>
    </row>
    <row r="46" spans="1:12" x14ac:dyDescent="0.3">
      <c r="A46" s="123" t="s">
        <v>541</v>
      </c>
      <c r="B46" s="123" t="s">
        <v>76</v>
      </c>
      <c r="C46" s="123">
        <v>48</v>
      </c>
      <c r="D46" s="126">
        <v>30</v>
      </c>
      <c r="E46" s="123" t="str">
        <f t="shared" si="1"/>
        <v>No_Vertical_48_30</v>
      </c>
      <c r="F46" s="123">
        <v>0.41899999999999998</v>
      </c>
    </row>
    <row r="47" spans="1:12" x14ac:dyDescent="0.3">
      <c r="A47" s="123" t="s">
        <v>541</v>
      </c>
      <c r="B47" s="123" t="s">
        <v>535</v>
      </c>
      <c r="C47" s="123" t="s">
        <v>535</v>
      </c>
      <c r="D47" s="126">
        <v>5</v>
      </c>
      <c r="E47" s="123" t="str">
        <f t="shared" si="1"/>
        <v>No_full slab_full slab_5</v>
      </c>
      <c r="F47" s="123">
        <v>0.46</v>
      </c>
    </row>
    <row r="48" spans="1:12" x14ac:dyDescent="0.3">
      <c r="A48" s="123" t="s">
        <v>541</v>
      </c>
      <c r="B48" s="123" t="s">
        <v>535</v>
      </c>
      <c r="C48" s="123" t="s">
        <v>535</v>
      </c>
      <c r="D48" s="126">
        <v>7.5</v>
      </c>
      <c r="E48" s="123" t="str">
        <f t="shared" si="1"/>
        <v>No_full slab_full slab_7.5</v>
      </c>
      <c r="F48" s="123">
        <v>0.41</v>
      </c>
    </row>
    <row r="49" spans="1:6" x14ac:dyDescent="0.3">
      <c r="A49" s="123" t="s">
        <v>541</v>
      </c>
      <c r="B49" s="123" t="s">
        <v>535</v>
      </c>
      <c r="C49" s="123" t="s">
        <v>535</v>
      </c>
      <c r="D49" s="126">
        <v>10</v>
      </c>
      <c r="E49" s="123" t="str">
        <f t="shared" si="1"/>
        <v>No_full slab_full slab_10</v>
      </c>
      <c r="F49" s="123">
        <v>0.36</v>
      </c>
    </row>
    <row r="50" spans="1:6" x14ac:dyDescent="0.3">
      <c r="A50" s="123" t="s">
        <v>541</v>
      </c>
      <c r="B50" s="123" t="s">
        <v>535</v>
      </c>
      <c r="C50" s="123" t="s">
        <v>535</v>
      </c>
      <c r="D50" s="126">
        <v>15</v>
      </c>
      <c r="E50" s="123" t="str">
        <f t="shared" si="1"/>
        <v>No_full slab_full slab_15</v>
      </c>
      <c r="F50" s="123">
        <v>0.3</v>
      </c>
    </row>
    <row r="51" spans="1:6" x14ac:dyDescent="0.3">
      <c r="A51" s="123" t="s">
        <v>541</v>
      </c>
      <c r="B51" s="123" t="s">
        <v>535</v>
      </c>
      <c r="C51" s="123" t="s">
        <v>535</v>
      </c>
      <c r="D51" s="126">
        <v>20</v>
      </c>
      <c r="E51" s="123" t="str">
        <f t="shared" si="1"/>
        <v>No_full slab_full slab_20</v>
      </c>
      <c r="F51" s="123">
        <v>0.26100000000000001</v>
      </c>
    </row>
    <row r="52" spans="1:6" x14ac:dyDescent="0.3">
      <c r="A52" s="123" t="s">
        <v>541</v>
      </c>
      <c r="B52" s="123" t="s">
        <v>535</v>
      </c>
      <c r="C52" s="123" t="s">
        <v>535</v>
      </c>
      <c r="D52" s="126">
        <v>25</v>
      </c>
      <c r="E52" s="123" t="str">
        <f t="shared" si="1"/>
        <v>No_full slab_full slab_25</v>
      </c>
      <c r="F52" s="123">
        <v>0.23300000000000001</v>
      </c>
    </row>
    <row r="53" spans="1:6" x14ac:dyDescent="0.3">
      <c r="A53" s="123" t="s">
        <v>541</v>
      </c>
      <c r="B53" s="123" t="s">
        <v>535</v>
      </c>
      <c r="C53" s="123" t="s">
        <v>535</v>
      </c>
      <c r="D53" s="126">
        <v>30</v>
      </c>
      <c r="E53" s="123" t="str">
        <f t="shared" si="1"/>
        <v>No_full slab_full slab_30</v>
      </c>
      <c r="F53" s="123">
        <v>0.21299999999999999</v>
      </c>
    </row>
    <row r="54" spans="1:6" x14ac:dyDescent="0.3">
      <c r="A54" s="123" t="s">
        <v>541</v>
      </c>
      <c r="B54" s="123" t="s">
        <v>535</v>
      </c>
      <c r="C54" s="123" t="s">
        <v>535</v>
      </c>
      <c r="D54" s="126">
        <v>35</v>
      </c>
      <c r="E54" s="123" t="str">
        <f t="shared" si="1"/>
        <v>No_full slab_full slab_35</v>
      </c>
      <c r="F54" s="123">
        <v>0.19800000000000001</v>
      </c>
    </row>
    <row r="55" spans="1:6" x14ac:dyDescent="0.3">
      <c r="A55" s="123" t="s">
        <v>541</v>
      </c>
      <c r="B55" s="123" t="s">
        <v>535</v>
      </c>
      <c r="C55" s="123" t="s">
        <v>535</v>
      </c>
      <c r="D55" s="126">
        <v>40</v>
      </c>
      <c r="E55" s="123" t="str">
        <f t="shared" si="1"/>
        <v>No_full slab_full slab_40</v>
      </c>
      <c r="F55" s="123">
        <v>0.186</v>
      </c>
    </row>
    <row r="56" spans="1:6" x14ac:dyDescent="0.3">
      <c r="A56" s="123" t="s">
        <v>541</v>
      </c>
      <c r="B56" s="123" t="s">
        <v>535</v>
      </c>
      <c r="C56" s="123" t="s">
        <v>535</v>
      </c>
      <c r="D56" s="126">
        <v>45</v>
      </c>
      <c r="E56" s="123" t="str">
        <f t="shared" si="1"/>
        <v>No_full slab_full slab_45</v>
      </c>
      <c r="F56" s="123">
        <v>176</v>
      </c>
    </row>
    <row r="57" spans="1:6" x14ac:dyDescent="0.3">
      <c r="A57" s="123" t="s">
        <v>541</v>
      </c>
      <c r="B57" s="123" t="s">
        <v>535</v>
      </c>
      <c r="C57" s="123" t="s">
        <v>535</v>
      </c>
      <c r="D57" s="126">
        <v>50</v>
      </c>
      <c r="E57" s="123" t="str">
        <f t="shared" si="1"/>
        <v>No_full slab_full slab_50</v>
      </c>
      <c r="F57" s="123">
        <v>0.16800000000000001</v>
      </c>
    </row>
    <row r="58" spans="1:6" x14ac:dyDescent="0.3">
      <c r="A58" s="123" t="s">
        <v>541</v>
      </c>
      <c r="B58" s="123" t="s">
        <v>535</v>
      </c>
      <c r="C58" s="123" t="s">
        <v>535</v>
      </c>
      <c r="D58" s="126">
        <v>55</v>
      </c>
      <c r="E58" s="123" t="str">
        <f t="shared" si="1"/>
        <v>No_full slab_full slab_55</v>
      </c>
      <c r="F58" s="123">
        <v>0.161</v>
      </c>
    </row>
    <row r="59" spans="1:6" x14ac:dyDescent="0.3">
      <c r="A59" s="123" t="s">
        <v>428</v>
      </c>
      <c r="B59" s="123" t="s">
        <v>75</v>
      </c>
      <c r="C59" s="123">
        <v>0</v>
      </c>
      <c r="D59" s="126">
        <v>0</v>
      </c>
      <c r="E59" s="123" t="str">
        <f t="shared" si="1"/>
        <v>Yes_Horizontal_0_0</v>
      </c>
      <c r="F59" s="123">
        <v>1.35</v>
      </c>
    </row>
    <row r="60" spans="1:6" x14ac:dyDescent="0.3">
      <c r="A60" s="123" t="s">
        <v>428</v>
      </c>
      <c r="B60" s="123" t="s">
        <v>75</v>
      </c>
      <c r="C60" s="123">
        <v>12</v>
      </c>
      <c r="D60" s="126">
        <v>5</v>
      </c>
      <c r="E60" s="123" t="str">
        <f t="shared" si="1"/>
        <v>Yes_Horizontal_12_5</v>
      </c>
      <c r="F60" s="123">
        <v>1.31</v>
      </c>
    </row>
    <row r="61" spans="1:6" x14ac:dyDescent="0.3">
      <c r="A61" s="123" t="s">
        <v>428</v>
      </c>
      <c r="B61" s="123" t="s">
        <v>75</v>
      </c>
      <c r="C61" s="123">
        <v>12</v>
      </c>
      <c r="D61" s="126">
        <v>7.5</v>
      </c>
      <c r="E61" s="123" t="str">
        <f t="shared" si="1"/>
        <v>Yes_Horizontal_12_7.5</v>
      </c>
      <c r="F61" s="123">
        <v>1.31</v>
      </c>
    </row>
    <row r="62" spans="1:6" x14ac:dyDescent="0.3">
      <c r="A62" s="123" t="s">
        <v>428</v>
      </c>
      <c r="B62" s="123" t="s">
        <v>75</v>
      </c>
      <c r="C62" s="123">
        <v>12</v>
      </c>
      <c r="D62" s="126">
        <v>10</v>
      </c>
      <c r="E62" s="123" t="str">
        <f t="shared" si="1"/>
        <v>Yes_Horizontal_12_10</v>
      </c>
      <c r="F62" s="123">
        <v>1.3</v>
      </c>
    </row>
    <row r="63" spans="1:6" x14ac:dyDescent="0.3">
      <c r="A63" s="123" t="s">
        <v>428</v>
      </c>
      <c r="B63" s="123" t="s">
        <v>75</v>
      </c>
      <c r="C63" s="123">
        <v>12</v>
      </c>
      <c r="D63" s="126">
        <v>15</v>
      </c>
      <c r="E63" s="123" t="str">
        <f t="shared" si="1"/>
        <v>Yes_Horizontal_12_15</v>
      </c>
      <c r="F63" s="123">
        <v>1.3</v>
      </c>
    </row>
    <row r="64" spans="1:6" x14ac:dyDescent="0.3">
      <c r="A64" s="123" t="s">
        <v>428</v>
      </c>
      <c r="B64" s="123" t="s">
        <v>75</v>
      </c>
      <c r="C64" s="123">
        <v>24</v>
      </c>
      <c r="D64" s="126">
        <v>5</v>
      </c>
      <c r="E64" s="123" t="str">
        <f t="shared" si="1"/>
        <v>Yes_Horizontal_24_5</v>
      </c>
      <c r="F64" s="123">
        <v>1.28</v>
      </c>
    </row>
    <row r="65" spans="1:6" x14ac:dyDescent="0.3">
      <c r="A65" s="123" t="s">
        <v>428</v>
      </c>
      <c r="B65" s="123" t="s">
        <v>75</v>
      </c>
      <c r="C65" s="123">
        <v>24</v>
      </c>
      <c r="D65" s="126">
        <v>7.5</v>
      </c>
      <c r="E65" s="123" t="str">
        <f t="shared" si="1"/>
        <v>Yes_Horizontal_24_7.5</v>
      </c>
      <c r="F65" s="123">
        <v>1.27</v>
      </c>
    </row>
    <row r="66" spans="1:6" x14ac:dyDescent="0.3">
      <c r="A66" s="123" t="s">
        <v>428</v>
      </c>
      <c r="B66" s="123" t="s">
        <v>75</v>
      </c>
      <c r="C66" s="123">
        <v>24</v>
      </c>
      <c r="D66" s="126">
        <v>10</v>
      </c>
      <c r="E66" s="123" t="str">
        <f t="shared" si="1"/>
        <v>Yes_Horizontal_24_10</v>
      </c>
      <c r="F66" s="123">
        <v>1.26</v>
      </c>
    </row>
    <row r="67" spans="1:6" x14ac:dyDescent="0.3">
      <c r="A67" s="123" t="s">
        <v>428</v>
      </c>
      <c r="B67" s="123" t="s">
        <v>75</v>
      </c>
      <c r="C67" s="123">
        <v>24</v>
      </c>
      <c r="D67" s="126">
        <v>15</v>
      </c>
      <c r="E67" s="123" t="str">
        <f t="shared" ref="E67:E115" si="3">A67&amp;"_"&amp;B67&amp;"_"&amp;C67&amp;"_"&amp;D67</f>
        <v>Yes_Horizontal_24_15</v>
      </c>
      <c r="F67" s="123">
        <v>1.25</v>
      </c>
    </row>
    <row r="68" spans="1:6" x14ac:dyDescent="0.3">
      <c r="A68" s="123" t="s">
        <v>428</v>
      </c>
      <c r="B68" s="123" t="s">
        <v>75</v>
      </c>
      <c r="C68" s="123">
        <v>36</v>
      </c>
      <c r="D68" s="126">
        <v>5</v>
      </c>
      <c r="E68" s="123" t="str">
        <f t="shared" si="3"/>
        <v>Yes_Horizontal_36_5</v>
      </c>
      <c r="F68" s="123">
        <v>1.24</v>
      </c>
    </row>
    <row r="69" spans="1:6" x14ac:dyDescent="0.3">
      <c r="A69" s="123" t="s">
        <v>428</v>
      </c>
      <c r="B69" s="123" t="s">
        <v>75</v>
      </c>
      <c r="C69" s="123">
        <v>36</v>
      </c>
      <c r="D69" s="126">
        <v>7.5</v>
      </c>
      <c r="E69" s="123" t="str">
        <f t="shared" si="3"/>
        <v>Yes_Horizontal_36_7.5</v>
      </c>
      <c r="F69" s="123">
        <v>1.21</v>
      </c>
    </row>
    <row r="70" spans="1:6" x14ac:dyDescent="0.3">
      <c r="A70" s="123" t="s">
        <v>428</v>
      </c>
      <c r="B70" s="123" t="s">
        <v>75</v>
      </c>
      <c r="C70" s="123">
        <v>36</v>
      </c>
      <c r="D70" s="126">
        <v>10</v>
      </c>
      <c r="E70" s="123" t="str">
        <f t="shared" si="3"/>
        <v>Yes_Horizontal_36_10</v>
      </c>
      <c r="F70" s="123">
        <v>1.2</v>
      </c>
    </row>
    <row r="71" spans="1:6" x14ac:dyDescent="0.3">
      <c r="A71" s="123" t="s">
        <v>428</v>
      </c>
      <c r="B71" s="123" t="s">
        <v>75</v>
      </c>
      <c r="C71" s="123">
        <v>36</v>
      </c>
      <c r="D71" s="126">
        <v>15</v>
      </c>
      <c r="E71" s="123" t="str">
        <f t="shared" si="3"/>
        <v>Yes_Horizontal_36_15</v>
      </c>
      <c r="F71" s="123">
        <v>1.18</v>
      </c>
    </row>
    <row r="72" spans="1:6" x14ac:dyDescent="0.3">
      <c r="A72" s="123" t="s">
        <v>428</v>
      </c>
      <c r="B72" s="123" t="s">
        <v>75</v>
      </c>
      <c r="C72" s="123">
        <v>48</v>
      </c>
      <c r="D72" s="126">
        <v>5</v>
      </c>
      <c r="E72" s="123" t="str">
        <f t="shared" si="3"/>
        <v>Yes_Horizontal_48_5</v>
      </c>
      <c r="F72" s="123">
        <v>1.2</v>
      </c>
    </row>
    <row r="73" spans="1:6" x14ac:dyDescent="0.3">
      <c r="A73" s="123" t="s">
        <v>428</v>
      </c>
      <c r="B73" s="123" t="s">
        <v>75</v>
      </c>
      <c r="C73" s="123">
        <v>48</v>
      </c>
      <c r="D73" s="126">
        <v>7.5</v>
      </c>
      <c r="E73" s="123" t="str">
        <f t="shared" si="3"/>
        <v>Yes_Horizontal_48_7.5</v>
      </c>
      <c r="F73" s="123">
        <v>1.17</v>
      </c>
    </row>
    <row r="74" spans="1:6" x14ac:dyDescent="0.3">
      <c r="A74" s="123" t="s">
        <v>428</v>
      </c>
      <c r="B74" s="123" t="s">
        <v>75</v>
      </c>
      <c r="C74" s="123">
        <v>48</v>
      </c>
      <c r="D74" s="126">
        <v>10</v>
      </c>
      <c r="E74" s="123" t="str">
        <f t="shared" si="3"/>
        <v>Yes_Horizontal_48_10</v>
      </c>
      <c r="F74" s="123">
        <v>1.1299999999999999</v>
      </c>
    </row>
    <row r="75" spans="1:6" x14ac:dyDescent="0.3">
      <c r="A75" s="123" t="s">
        <v>428</v>
      </c>
      <c r="B75" s="123" t="s">
        <v>75</v>
      </c>
      <c r="C75" s="123">
        <v>48</v>
      </c>
      <c r="D75" s="126">
        <v>15</v>
      </c>
      <c r="E75" s="123" t="str">
        <f t="shared" si="3"/>
        <v>Yes_Horizontal_48_15</v>
      </c>
      <c r="F75" s="123">
        <v>1.1100000000000001</v>
      </c>
    </row>
    <row r="76" spans="1:6" x14ac:dyDescent="0.3">
      <c r="A76" s="123" t="s">
        <v>428</v>
      </c>
      <c r="B76" s="123" t="s">
        <v>76</v>
      </c>
      <c r="C76" s="123">
        <v>12</v>
      </c>
      <c r="D76" s="126">
        <v>5</v>
      </c>
      <c r="E76" s="123" t="str">
        <f t="shared" si="3"/>
        <v>Yes_Vertical_12_5</v>
      </c>
      <c r="F76" s="123">
        <v>1.06</v>
      </c>
    </row>
    <row r="77" spans="1:6" x14ac:dyDescent="0.3">
      <c r="A77" s="123" t="s">
        <v>428</v>
      </c>
      <c r="B77" s="123" t="s">
        <v>76</v>
      </c>
      <c r="C77" s="123">
        <v>12</v>
      </c>
      <c r="D77" s="126">
        <v>7.5</v>
      </c>
      <c r="E77" s="123" t="str">
        <f t="shared" si="3"/>
        <v>Yes_Vertical_12_7.5</v>
      </c>
      <c r="F77" s="123">
        <v>1.02</v>
      </c>
    </row>
    <row r="78" spans="1:6" x14ac:dyDescent="0.3">
      <c r="A78" s="123" t="s">
        <v>428</v>
      </c>
      <c r="B78" s="123" t="s">
        <v>76</v>
      </c>
      <c r="C78" s="123">
        <v>12</v>
      </c>
      <c r="D78" s="126">
        <v>10</v>
      </c>
      <c r="E78" s="123" t="str">
        <f t="shared" si="3"/>
        <v>Yes_Vertical_12_10</v>
      </c>
      <c r="F78" s="123">
        <v>1</v>
      </c>
    </row>
    <row r="79" spans="1:6" x14ac:dyDescent="0.3">
      <c r="A79" s="123" t="s">
        <v>428</v>
      </c>
      <c r="B79" s="123" t="s">
        <v>76</v>
      </c>
      <c r="C79" s="123">
        <v>12</v>
      </c>
      <c r="D79" s="126">
        <v>15</v>
      </c>
      <c r="E79" s="123" t="str">
        <f t="shared" si="3"/>
        <v>Yes_Vertical_12_15</v>
      </c>
      <c r="F79" s="123">
        <v>0.98</v>
      </c>
    </row>
    <row r="80" spans="1:6" x14ac:dyDescent="0.3">
      <c r="A80" s="123" t="s">
        <v>428</v>
      </c>
      <c r="B80" s="123" t="s">
        <v>76</v>
      </c>
      <c r="C80" s="123">
        <v>12</v>
      </c>
      <c r="D80" s="126">
        <v>20</v>
      </c>
      <c r="E80" s="123" t="str">
        <f t="shared" si="3"/>
        <v>Yes_Vertical_12_20</v>
      </c>
      <c r="F80" s="123">
        <v>968</v>
      </c>
    </row>
    <row r="81" spans="1:6" x14ac:dyDescent="0.3">
      <c r="A81" s="123" t="s">
        <v>428</v>
      </c>
      <c r="B81" s="123" t="s">
        <v>76</v>
      </c>
      <c r="C81" s="123">
        <v>12</v>
      </c>
      <c r="D81" s="126">
        <v>25</v>
      </c>
      <c r="E81" s="123" t="str">
        <f t="shared" si="3"/>
        <v>Yes_Vertical_12_25</v>
      </c>
      <c r="F81" s="123">
        <v>0.96399999999999997</v>
      </c>
    </row>
    <row r="82" spans="1:6" x14ac:dyDescent="0.3">
      <c r="A82" s="123" t="s">
        <v>428</v>
      </c>
      <c r="B82" s="123" t="s">
        <v>76</v>
      </c>
      <c r="C82" s="123">
        <v>12</v>
      </c>
      <c r="D82" s="126">
        <v>30</v>
      </c>
      <c r="E82" s="123" t="str">
        <f t="shared" si="3"/>
        <v>Yes_Vertical_12_30</v>
      </c>
      <c r="F82" s="123">
        <v>0.96099999999999997</v>
      </c>
    </row>
    <row r="83" spans="1:6" x14ac:dyDescent="0.3">
      <c r="A83" s="123" t="s">
        <v>428</v>
      </c>
      <c r="B83" s="123" t="s">
        <v>76</v>
      </c>
      <c r="C83" s="123">
        <v>24</v>
      </c>
      <c r="D83" s="126">
        <v>5</v>
      </c>
      <c r="E83" s="123" t="str">
        <f t="shared" si="3"/>
        <v>Yes_Vertical_24_5</v>
      </c>
      <c r="F83" s="123">
        <v>0.99</v>
      </c>
    </row>
    <row r="84" spans="1:6" x14ac:dyDescent="0.3">
      <c r="A84" s="123" t="s">
        <v>428</v>
      </c>
      <c r="B84" s="123" t="s">
        <v>76</v>
      </c>
      <c r="C84" s="123">
        <v>24</v>
      </c>
      <c r="D84" s="126">
        <v>7.5</v>
      </c>
      <c r="E84" s="123" t="str">
        <f t="shared" si="3"/>
        <v>Yes_Vertical_24_7.5</v>
      </c>
      <c r="F84" s="123">
        <v>0.95</v>
      </c>
    </row>
    <row r="85" spans="1:6" x14ac:dyDescent="0.3">
      <c r="A85" s="123" t="s">
        <v>428</v>
      </c>
      <c r="B85" s="123" t="s">
        <v>76</v>
      </c>
      <c r="C85" s="123">
        <v>24</v>
      </c>
      <c r="D85" s="126">
        <v>10</v>
      </c>
      <c r="E85" s="123" t="str">
        <f t="shared" si="3"/>
        <v>Yes_Vertical_24_10</v>
      </c>
      <c r="F85" s="123">
        <v>0.9</v>
      </c>
    </row>
    <row r="86" spans="1:6" x14ac:dyDescent="0.3">
      <c r="A86" s="123" t="s">
        <v>428</v>
      </c>
      <c r="B86" s="123" t="s">
        <v>76</v>
      </c>
      <c r="C86" s="123">
        <v>24</v>
      </c>
      <c r="D86" s="126">
        <v>15</v>
      </c>
      <c r="E86" s="123" t="str">
        <f t="shared" si="3"/>
        <v>Yes_Vertical_24_15</v>
      </c>
      <c r="F86" s="123">
        <v>0.86</v>
      </c>
    </row>
    <row r="87" spans="1:6" x14ac:dyDescent="0.3">
      <c r="A87" s="123" t="s">
        <v>428</v>
      </c>
      <c r="B87" s="123" t="s">
        <v>76</v>
      </c>
      <c r="C87" s="123">
        <v>24</v>
      </c>
      <c r="D87" s="126">
        <v>20</v>
      </c>
      <c r="E87" s="123" t="str">
        <f t="shared" si="3"/>
        <v>Yes_Vertical_24_20</v>
      </c>
      <c r="F87" s="123">
        <v>0.84299999999999997</v>
      </c>
    </row>
    <row r="88" spans="1:6" x14ac:dyDescent="0.3">
      <c r="A88" s="123" t="s">
        <v>428</v>
      </c>
      <c r="B88" s="123" t="s">
        <v>76</v>
      </c>
      <c r="C88" s="123">
        <v>24</v>
      </c>
      <c r="D88" s="126">
        <v>25</v>
      </c>
      <c r="E88" s="123" t="str">
        <f t="shared" si="3"/>
        <v>Yes_Vertical_24_25</v>
      </c>
      <c r="F88" s="123">
        <v>0.83199999999999996</v>
      </c>
    </row>
    <row r="89" spans="1:6" x14ac:dyDescent="0.3">
      <c r="A89" s="123" t="s">
        <v>428</v>
      </c>
      <c r="B89" s="123" t="s">
        <v>76</v>
      </c>
      <c r="C89" s="123">
        <v>24</v>
      </c>
      <c r="D89" s="126">
        <v>30</v>
      </c>
      <c r="E89" s="123" t="str">
        <f t="shared" si="3"/>
        <v>Yes_Vertical_24_30</v>
      </c>
      <c r="F89" s="123">
        <v>0.82699999999999996</v>
      </c>
    </row>
    <row r="90" spans="1:6" x14ac:dyDescent="0.3">
      <c r="A90" s="123" t="s">
        <v>428</v>
      </c>
      <c r="B90" s="123" t="s">
        <v>76</v>
      </c>
      <c r="C90" s="123">
        <v>36</v>
      </c>
      <c r="D90" s="126">
        <v>5</v>
      </c>
      <c r="E90" s="123" t="str">
        <f t="shared" si="3"/>
        <v>Yes_Vertical_36_5</v>
      </c>
      <c r="F90" s="123">
        <v>0.95</v>
      </c>
    </row>
    <row r="91" spans="1:6" x14ac:dyDescent="0.3">
      <c r="A91" s="123" t="s">
        <v>428</v>
      </c>
      <c r="B91" s="123" t="s">
        <v>76</v>
      </c>
      <c r="C91" s="123">
        <v>36</v>
      </c>
      <c r="D91" s="126">
        <v>7.5</v>
      </c>
      <c r="E91" s="123" t="str">
        <f t="shared" si="3"/>
        <v>Yes_Vertical_36_7.5</v>
      </c>
      <c r="F91" s="123">
        <v>0.89</v>
      </c>
    </row>
    <row r="92" spans="1:6" x14ac:dyDescent="0.3">
      <c r="A92" s="123" t="s">
        <v>428</v>
      </c>
      <c r="B92" s="123" t="s">
        <v>76</v>
      </c>
      <c r="C92" s="123">
        <v>36</v>
      </c>
      <c r="D92" s="126">
        <v>10</v>
      </c>
      <c r="E92" s="123" t="str">
        <f t="shared" si="3"/>
        <v>Yes_Vertical_36_10</v>
      </c>
      <c r="F92" s="123">
        <v>0.84</v>
      </c>
    </row>
    <row r="93" spans="1:6" x14ac:dyDescent="0.3">
      <c r="A93" s="123" t="s">
        <v>428</v>
      </c>
      <c r="B93" s="123" t="s">
        <v>76</v>
      </c>
      <c r="C93" s="123">
        <v>36</v>
      </c>
      <c r="D93" s="126">
        <v>15</v>
      </c>
      <c r="E93" s="123" t="str">
        <f t="shared" si="3"/>
        <v>Yes_Vertical_36_15</v>
      </c>
      <c r="F93" s="123">
        <v>0.79</v>
      </c>
    </row>
    <row r="94" spans="1:6" x14ac:dyDescent="0.3">
      <c r="A94" s="123" t="s">
        <v>428</v>
      </c>
      <c r="B94" s="123" t="s">
        <v>76</v>
      </c>
      <c r="C94" s="123">
        <v>36</v>
      </c>
      <c r="D94" s="126">
        <v>20</v>
      </c>
      <c r="E94" s="123" t="str">
        <f t="shared" si="3"/>
        <v>Yes_Vertical_36_20</v>
      </c>
      <c r="F94" s="123">
        <v>0.76200000000000001</v>
      </c>
    </row>
    <row r="95" spans="1:6" x14ac:dyDescent="0.3">
      <c r="A95" s="123" t="s">
        <v>428</v>
      </c>
      <c r="B95" s="123" t="s">
        <v>76</v>
      </c>
      <c r="C95" s="123">
        <v>36</v>
      </c>
      <c r="D95" s="126">
        <v>25</v>
      </c>
      <c r="E95" s="123" t="str">
        <f t="shared" si="3"/>
        <v>Yes_Vertical_36_25</v>
      </c>
      <c r="F95" s="123">
        <v>0.747</v>
      </c>
    </row>
    <row r="96" spans="1:6" x14ac:dyDescent="0.3">
      <c r="A96" s="123" t="s">
        <v>428</v>
      </c>
      <c r="B96" s="123" t="s">
        <v>76</v>
      </c>
      <c r="C96" s="123">
        <v>36</v>
      </c>
      <c r="D96" s="126">
        <v>30</v>
      </c>
      <c r="E96" s="123" t="str">
        <f t="shared" si="3"/>
        <v>Yes_Vertical_36_30</v>
      </c>
      <c r="F96" s="123">
        <v>0.74</v>
      </c>
    </row>
    <row r="97" spans="1:6" x14ac:dyDescent="0.3">
      <c r="A97" s="123" t="s">
        <v>428</v>
      </c>
      <c r="B97" s="123" t="s">
        <v>76</v>
      </c>
      <c r="C97" s="123">
        <v>48</v>
      </c>
      <c r="D97" s="126">
        <v>5</v>
      </c>
      <c r="E97" s="123" t="str">
        <f t="shared" si="3"/>
        <v>Yes_Vertical_48_5</v>
      </c>
      <c r="F97" s="123">
        <v>0.91</v>
      </c>
    </row>
    <row r="98" spans="1:6" x14ac:dyDescent="0.3">
      <c r="A98" s="123" t="s">
        <v>428</v>
      </c>
      <c r="B98" s="123" t="s">
        <v>76</v>
      </c>
      <c r="C98" s="123">
        <v>48</v>
      </c>
      <c r="D98" s="126">
        <v>7.5</v>
      </c>
      <c r="E98" s="123" t="str">
        <f t="shared" si="3"/>
        <v>Yes_Vertical_48_7.5</v>
      </c>
      <c r="F98" s="123">
        <v>0.85</v>
      </c>
    </row>
    <row r="99" spans="1:6" x14ac:dyDescent="0.3">
      <c r="A99" s="123" t="s">
        <v>428</v>
      </c>
      <c r="B99" s="123" t="s">
        <v>76</v>
      </c>
      <c r="C99" s="123">
        <v>48</v>
      </c>
      <c r="D99" s="126">
        <v>10</v>
      </c>
      <c r="E99" s="123" t="str">
        <f t="shared" si="3"/>
        <v>Yes_Vertical_48_10</v>
      </c>
      <c r="F99" s="123">
        <v>0.77</v>
      </c>
    </row>
    <row r="100" spans="1:6" x14ac:dyDescent="0.3">
      <c r="A100" s="123" t="s">
        <v>428</v>
      </c>
      <c r="B100" s="123" t="s">
        <v>76</v>
      </c>
      <c r="C100" s="123">
        <v>48</v>
      </c>
      <c r="D100" s="126">
        <v>15</v>
      </c>
      <c r="E100" s="123" t="str">
        <f t="shared" si="3"/>
        <v>Yes_Vertical_48_15</v>
      </c>
      <c r="F100" s="123">
        <v>0.72</v>
      </c>
    </row>
    <row r="101" spans="1:6" x14ac:dyDescent="0.3">
      <c r="A101" s="123" t="s">
        <v>428</v>
      </c>
      <c r="B101" s="123" t="s">
        <v>76</v>
      </c>
      <c r="C101" s="123">
        <v>48</v>
      </c>
      <c r="D101" s="126">
        <v>20</v>
      </c>
      <c r="E101" s="123" t="str">
        <f t="shared" si="3"/>
        <v>Yes_Vertical_48_20</v>
      </c>
      <c r="F101" s="123">
        <v>0.68799999999999994</v>
      </c>
    </row>
    <row r="102" spans="1:6" x14ac:dyDescent="0.3">
      <c r="A102" s="123" t="s">
        <v>428</v>
      </c>
      <c r="B102" s="123" t="s">
        <v>76</v>
      </c>
      <c r="C102" s="123">
        <v>48</v>
      </c>
      <c r="D102" s="126">
        <v>25</v>
      </c>
      <c r="E102" s="123" t="str">
        <f t="shared" si="3"/>
        <v>Yes_Vertical_48_25</v>
      </c>
      <c r="F102" s="123">
        <v>0.67100000000000004</v>
      </c>
    </row>
    <row r="103" spans="1:6" x14ac:dyDescent="0.3">
      <c r="A103" s="123" t="s">
        <v>428</v>
      </c>
      <c r="B103" s="123" t="s">
        <v>76</v>
      </c>
      <c r="C103" s="123">
        <v>48</v>
      </c>
      <c r="D103" s="126">
        <v>30</v>
      </c>
      <c r="E103" s="123" t="str">
        <f t="shared" si="3"/>
        <v>Yes_Vertical_48_30</v>
      </c>
      <c r="F103" s="123">
        <v>0.65900000000000003</v>
      </c>
    </row>
    <row r="104" spans="1:6" x14ac:dyDescent="0.3">
      <c r="A104" s="123" t="s">
        <v>428</v>
      </c>
      <c r="B104" s="123" t="s">
        <v>535</v>
      </c>
      <c r="C104" s="123" t="s">
        <v>535</v>
      </c>
      <c r="D104" s="126">
        <v>5</v>
      </c>
      <c r="E104" s="123" t="str">
        <f t="shared" si="3"/>
        <v>Yes_full slab_full slab_5</v>
      </c>
      <c r="F104" s="123">
        <v>0.74</v>
      </c>
    </row>
    <row r="105" spans="1:6" x14ac:dyDescent="0.3">
      <c r="A105" s="123" t="s">
        <v>428</v>
      </c>
      <c r="B105" s="123" t="s">
        <v>535</v>
      </c>
      <c r="C105" s="123" t="s">
        <v>535</v>
      </c>
      <c r="D105" s="126">
        <v>7.5</v>
      </c>
      <c r="E105" s="123" t="str">
        <f t="shared" si="3"/>
        <v>Yes_full slab_full slab_7.5</v>
      </c>
      <c r="F105" s="123">
        <v>0.64</v>
      </c>
    </row>
    <row r="106" spans="1:6" x14ac:dyDescent="0.3">
      <c r="A106" s="123" t="s">
        <v>428</v>
      </c>
      <c r="B106" s="123" t="s">
        <v>535</v>
      </c>
      <c r="C106" s="123" t="s">
        <v>535</v>
      </c>
      <c r="D106" s="126">
        <v>10</v>
      </c>
      <c r="E106" s="123" t="str">
        <f t="shared" si="3"/>
        <v>Yes_full slab_full slab_10</v>
      </c>
      <c r="F106" s="123">
        <v>0.55000000000000004</v>
      </c>
    </row>
    <row r="107" spans="1:6" x14ac:dyDescent="0.3">
      <c r="A107" s="123" t="s">
        <v>428</v>
      </c>
      <c r="B107" s="123" t="s">
        <v>535</v>
      </c>
      <c r="C107" s="123" t="s">
        <v>535</v>
      </c>
      <c r="D107" s="126">
        <v>15</v>
      </c>
      <c r="E107" s="123" t="str">
        <f t="shared" si="3"/>
        <v>Yes_full slab_full slab_15</v>
      </c>
      <c r="F107" s="123">
        <v>0.44</v>
      </c>
    </row>
    <row r="108" spans="1:6" x14ac:dyDescent="0.3">
      <c r="A108" s="123" t="s">
        <v>428</v>
      </c>
      <c r="B108" s="123" t="s">
        <v>535</v>
      </c>
      <c r="C108" s="123" t="s">
        <v>535</v>
      </c>
      <c r="D108" s="126">
        <v>20</v>
      </c>
      <c r="E108" s="123" t="str">
        <f t="shared" si="3"/>
        <v>Yes_full slab_full slab_20</v>
      </c>
      <c r="F108" s="123">
        <v>0.373</v>
      </c>
    </row>
    <row r="109" spans="1:6" x14ac:dyDescent="0.3">
      <c r="A109" s="123" t="s">
        <v>428</v>
      </c>
      <c r="B109" s="123" t="s">
        <v>535</v>
      </c>
      <c r="C109" s="123" t="s">
        <v>535</v>
      </c>
      <c r="D109" s="126">
        <v>25</v>
      </c>
      <c r="E109" s="123" t="str">
        <f t="shared" si="3"/>
        <v>Yes_full slab_full slab_25</v>
      </c>
      <c r="F109" s="123">
        <v>0.32600000000000001</v>
      </c>
    </row>
    <row r="110" spans="1:6" x14ac:dyDescent="0.3">
      <c r="A110" s="123" t="s">
        <v>428</v>
      </c>
      <c r="B110" s="123" t="s">
        <v>535</v>
      </c>
      <c r="C110" s="123" t="s">
        <v>535</v>
      </c>
      <c r="D110" s="126">
        <v>30</v>
      </c>
      <c r="E110" s="123" t="str">
        <f t="shared" si="3"/>
        <v>Yes_full slab_full slab_30</v>
      </c>
      <c r="F110" s="123">
        <v>0.29599999999999999</v>
      </c>
    </row>
    <row r="111" spans="1:6" x14ac:dyDescent="0.3">
      <c r="A111" s="123" t="s">
        <v>428</v>
      </c>
      <c r="B111" s="123" t="s">
        <v>535</v>
      </c>
      <c r="C111" s="123" t="s">
        <v>535</v>
      </c>
      <c r="D111" s="126">
        <v>35</v>
      </c>
      <c r="E111" s="123" t="str">
        <f t="shared" si="3"/>
        <v>Yes_full slab_full slab_35</v>
      </c>
      <c r="F111" s="123">
        <v>0.27300000000000002</v>
      </c>
    </row>
    <row r="112" spans="1:6" x14ac:dyDescent="0.3">
      <c r="A112" s="123" t="s">
        <v>428</v>
      </c>
      <c r="B112" s="123" t="s">
        <v>535</v>
      </c>
      <c r="C112" s="123" t="s">
        <v>535</v>
      </c>
      <c r="D112" s="126">
        <v>40</v>
      </c>
      <c r="E112" s="123" t="str">
        <f t="shared" si="3"/>
        <v>Yes_full slab_full slab_40</v>
      </c>
      <c r="F112" s="123">
        <v>0.255</v>
      </c>
    </row>
    <row r="113" spans="1:6" x14ac:dyDescent="0.3">
      <c r="A113" s="123" t="s">
        <v>428</v>
      </c>
      <c r="B113" s="123" t="s">
        <v>535</v>
      </c>
      <c r="C113" s="123" t="s">
        <v>535</v>
      </c>
      <c r="D113" s="126">
        <v>45</v>
      </c>
      <c r="E113" s="123" t="str">
        <f t="shared" si="3"/>
        <v>Yes_full slab_full slab_45</v>
      </c>
      <c r="F113" s="123">
        <v>0.23899999999999999</v>
      </c>
    </row>
    <row r="114" spans="1:6" x14ac:dyDescent="0.3">
      <c r="A114" s="123" t="s">
        <v>428</v>
      </c>
      <c r="B114" s="123" t="s">
        <v>535</v>
      </c>
      <c r="C114" s="123" t="s">
        <v>535</v>
      </c>
      <c r="D114" s="126">
        <v>50</v>
      </c>
      <c r="E114" s="123" t="str">
        <f t="shared" si="3"/>
        <v>Yes_full slab_full slab_50</v>
      </c>
      <c r="F114" s="123">
        <v>0.22700000000000001</v>
      </c>
    </row>
    <row r="115" spans="1:6" x14ac:dyDescent="0.3">
      <c r="A115" s="123" t="s">
        <v>428</v>
      </c>
      <c r="B115" s="123" t="s">
        <v>535</v>
      </c>
      <c r="C115" s="123" t="s">
        <v>535</v>
      </c>
      <c r="D115" s="126">
        <v>55</v>
      </c>
      <c r="E115" s="123" t="str">
        <f t="shared" si="3"/>
        <v>Yes_full slab_full slab_55</v>
      </c>
      <c r="F115" s="123">
        <v>0.217</v>
      </c>
    </row>
  </sheetData>
  <sheetProtection password="F31D" sheet="1" objects="1" scenarios="1" formatCells="0" selectLockedCells="1" sort="0" autoFilter="0"/>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Z36"/>
  <sheetViews>
    <sheetView workbookViewId="0">
      <selection activeCell="K2" sqref="K2:K501"/>
    </sheetView>
  </sheetViews>
  <sheetFormatPr defaultRowHeight="14.4" x14ac:dyDescent="0.3"/>
  <cols>
    <col min="1" max="1" width="10.109375" bestFit="1" customWidth="1"/>
    <col min="2" max="2" width="5.88671875" bestFit="1" customWidth="1"/>
    <col min="3" max="3" width="3.6640625" customWidth="1"/>
    <col min="4" max="4" width="13.109375" customWidth="1"/>
    <col min="5" max="5" width="14.88671875" customWidth="1"/>
    <col min="8" max="8" width="24.33203125" customWidth="1"/>
    <col min="9" max="9" width="3.5546875" customWidth="1"/>
    <col min="10" max="10" width="20" style="43" bestFit="1" customWidth="1"/>
    <col min="11" max="11" width="14.6640625" bestFit="1" customWidth="1"/>
    <col min="12" max="12" width="13.33203125" bestFit="1" customWidth="1"/>
    <col min="13" max="13" width="12.44140625" bestFit="1" customWidth="1"/>
    <col min="14" max="14" width="10.44140625" bestFit="1" customWidth="1"/>
    <col min="15" max="15" width="4.88671875" customWidth="1"/>
    <col min="16" max="16" width="27.77734375" bestFit="1" customWidth="1"/>
    <col min="17" max="17" width="7.5546875" bestFit="1" customWidth="1"/>
    <col min="18" max="18" width="6.5546875" bestFit="1" customWidth="1"/>
    <col min="19" max="19" width="5.77734375" bestFit="1" customWidth="1"/>
    <col min="20" max="20" width="6.77734375" bestFit="1" customWidth="1"/>
    <col min="21" max="21" width="8.33203125" bestFit="1" customWidth="1"/>
  </cols>
  <sheetData>
    <row r="1" spans="1:26" s="10" customFormat="1" ht="15" thickBot="1" x14ac:dyDescent="0.35">
      <c r="A1" s="389" t="s">
        <v>79</v>
      </c>
      <c r="B1" s="389"/>
      <c r="C1" s="39"/>
      <c r="D1" s="389" t="s">
        <v>85</v>
      </c>
      <c r="E1" s="389"/>
      <c r="F1" s="389"/>
      <c r="G1" s="389"/>
      <c r="H1" s="389"/>
    </row>
    <row r="2" spans="1:26" s="10" customFormat="1" x14ac:dyDescent="0.3">
      <c r="A2" s="168" t="s">
        <v>82</v>
      </c>
      <c r="B2" s="168" t="s">
        <v>387</v>
      </c>
      <c r="C2" s="39"/>
      <c r="D2" s="162"/>
      <c r="E2" s="162" t="s">
        <v>86</v>
      </c>
      <c r="F2" s="162"/>
      <c r="G2" s="162" t="s">
        <v>87</v>
      </c>
      <c r="H2" s="162"/>
      <c r="J2" s="166" t="s">
        <v>96</v>
      </c>
      <c r="K2" s="167" t="s">
        <v>247</v>
      </c>
      <c r="L2" s="167"/>
      <c r="M2" s="167" t="s">
        <v>253</v>
      </c>
      <c r="N2" s="169"/>
      <c r="P2" s="158" t="s">
        <v>344</v>
      </c>
      <c r="Q2" s="159"/>
      <c r="R2" s="392" t="s">
        <v>347</v>
      </c>
      <c r="S2" s="393"/>
      <c r="T2" s="393" t="s">
        <v>352</v>
      </c>
      <c r="U2" s="394"/>
      <c r="W2" s="383" t="s">
        <v>354</v>
      </c>
      <c r="X2" s="384"/>
      <c r="Y2" s="384"/>
      <c r="Z2" s="385"/>
    </row>
    <row r="3" spans="1:26" s="43" customFormat="1" ht="16.2" thickBot="1" x14ac:dyDescent="0.4">
      <c r="A3" s="3" t="s">
        <v>81</v>
      </c>
      <c r="B3" s="3">
        <v>1</v>
      </c>
      <c r="C3" s="3"/>
      <c r="D3" s="3" t="s">
        <v>83</v>
      </c>
      <c r="E3" s="3">
        <v>1.7999999999999999E-2</v>
      </c>
      <c r="F3" s="3" t="s">
        <v>91</v>
      </c>
      <c r="G3" s="3">
        <v>1.0049999999999999</v>
      </c>
      <c r="H3" s="3" t="s">
        <v>89</v>
      </c>
      <c r="J3" s="19" t="s">
        <v>390</v>
      </c>
      <c r="K3" s="26" t="s">
        <v>254</v>
      </c>
      <c r="L3" s="26" t="s">
        <v>265</v>
      </c>
      <c r="M3" s="87">
        <v>103200</v>
      </c>
      <c r="N3" s="88" t="s">
        <v>270</v>
      </c>
      <c r="P3" s="161"/>
      <c r="Q3" s="162" t="s">
        <v>378</v>
      </c>
      <c r="R3" s="163" t="s">
        <v>88</v>
      </c>
      <c r="S3" s="164" t="s">
        <v>359</v>
      </c>
      <c r="T3" s="164" t="s">
        <v>353</v>
      </c>
      <c r="U3" s="165" t="s">
        <v>574</v>
      </c>
      <c r="W3" s="386"/>
      <c r="X3" s="387"/>
      <c r="Y3" s="387"/>
      <c r="Z3" s="388"/>
    </row>
    <row r="4" spans="1:26" s="43" customFormat="1" x14ac:dyDescent="0.3">
      <c r="A4" s="3" t="s">
        <v>80</v>
      </c>
      <c r="B4" s="3">
        <v>0.5</v>
      </c>
      <c r="C4" s="3"/>
      <c r="D4" s="138" t="s">
        <v>84</v>
      </c>
      <c r="E4" s="3">
        <v>2.5100000000000001E-3</v>
      </c>
      <c r="F4" s="3" t="s">
        <v>90</v>
      </c>
      <c r="G4" s="3">
        <f>1.293</f>
        <v>1.2929999999999999</v>
      </c>
      <c r="H4" s="3" t="s">
        <v>88</v>
      </c>
      <c r="J4" s="19" t="s">
        <v>261</v>
      </c>
      <c r="K4" s="26" t="s">
        <v>248</v>
      </c>
      <c r="L4" s="26" t="s">
        <v>263</v>
      </c>
      <c r="M4" s="26">
        <v>3412.14</v>
      </c>
      <c r="N4" s="24" t="s">
        <v>273</v>
      </c>
      <c r="P4" s="19" t="s">
        <v>316</v>
      </c>
      <c r="Q4" s="26" t="s">
        <v>78</v>
      </c>
      <c r="R4" s="32">
        <v>2700</v>
      </c>
      <c r="S4" s="61">
        <f>R4*$Y$5</f>
        <v>168.48</v>
      </c>
      <c r="T4" s="32">
        <v>2.484</v>
      </c>
      <c r="U4" s="62">
        <f>T4*$Y$4</f>
        <v>0.59367599999999998</v>
      </c>
      <c r="W4" s="19" t="s">
        <v>355</v>
      </c>
      <c r="X4" s="26" t="s">
        <v>260</v>
      </c>
      <c r="Y4" s="26">
        <v>0.23899999999999999</v>
      </c>
      <c r="Z4" s="24" t="s">
        <v>356</v>
      </c>
    </row>
    <row r="5" spans="1:26" ht="17.25" customHeight="1" x14ac:dyDescent="0.3">
      <c r="A5" s="3" t="s">
        <v>388</v>
      </c>
      <c r="B5" s="3">
        <v>0.33</v>
      </c>
      <c r="C5" s="3"/>
      <c r="J5" s="19" t="s">
        <v>391</v>
      </c>
      <c r="K5" s="26" t="s">
        <v>251</v>
      </c>
      <c r="L5" s="26" t="s">
        <v>266</v>
      </c>
      <c r="M5" s="26">
        <f>M3*10</f>
        <v>1032000</v>
      </c>
      <c r="N5" s="88" t="s">
        <v>271</v>
      </c>
      <c r="P5" s="19" t="s">
        <v>348</v>
      </c>
      <c r="Q5" s="26" t="s">
        <v>78</v>
      </c>
      <c r="R5" s="26">
        <v>1969</v>
      </c>
      <c r="S5" s="37">
        <f t="shared" ref="S5:S12" si="0">R5*$Y$5</f>
        <v>122.8656</v>
      </c>
      <c r="T5" s="26">
        <v>1.8129999999999999</v>
      </c>
      <c r="U5" s="63">
        <f t="shared" ref="U5:U12" si="1">T5*$Y$4</f>
        <v>0.43330699999999994</v>
      </c>
      <c r="W5" s="19" t="s">
        <v>358</v>
      </c>
      <c r="X5" s="26" t="s">
        <v>260</v>
      </c>
      <c r="Y5" s="26">
        <v>6.2399999999999997E-2</v>
      </c>
      <c r="Z5" s="24" t="s">
        <v>359</v>
      </c>
    </row>
    <row r="6" spans="1:26" ht="17.25" customHeight="1" x14ac:dyDescent="0.3">
      <c r="A6" s="3"/>
      <c r="B6" s="3"/>
      <c r="C6" s="3"/>
      <c r="J6" s="19" t="s">
        <v>389</v>
      </c>
      <c r="K6" s="26" t="s">
        <v>250</v>
      </c>
      <c r="L6" s="26" t="s">
        <v>264</v>
      </c>
      <c r="M6" s="87">
        <v>99976.12</v>
      </c>
      <c r="N6" s="88" t="s">
        <v>269</v>
      </c>
      <c r="P6" s="19" t="s">
        <v>349</v>
      </c>
      <c r="Q6" s="26" t="s">
        <v>78</v>
      </c>
      <c r="R6" s="26">
        <v>7200</v>
      </c>
      <c r="S6" s="37">
        <f t="shared" si="0"/>
        <v>449.28</v>
      </c>
      <c r="T6" s="26">
        <v>3.8889999999999998</v>
      </c>
      <c r="U6" s="63">
        <f t="shared" si="1"/>
        <v>0.92947099999999994</v>
      </c>
      <c r="W6" s="19" t="s">
        <v>373</v>
      </c>
      <c r="X6" s="26" t="s">
        <v>260</v>
      </c>
      <c r="Y6" s="26">
        <v>8.35</v>
      </c>
      <c r="Z6" s="24" t="s">
        <v>257</v>
      </c>
    </row>
    <row r="7" spans="1:26" ht="17.25" customHeight="1" thickBot="1" x14ac:dyDescent="0.35">
      <c r="B7" s="3"/>
      <c r="J7" s="19" t="s">
        <v>262</v>
      </c>
      <c r="K7" s="26" t="s">
        <v>252</v>
      </c>
      <c r="L7" s="26" t="s">
        <v>267</v>
      </c>
      <c r="M7" s="87">
        <v>138700</v>
      </c>
      <c r="N7" s="88" t="s">
        <v>272</v>
      </c>
      <c r="P7" s="19" t="s">
        <v>323</v>
      </c>
      <c r="Q7" s="26" t="s">
        <v>78</v>
      </c>
      <c r="R7" s="26">
        <v>2305</v>
      </c>
      <c r="S7" s="37">
        <f t="shared" si="0"/>
        <v>143.83199999999999</v>
      </c>
      <c r="T7" s="26">
        <v>2.1219999999999999</v>
      </c>
      <c r="U7" s="63">
        <f t="shared" si="1"/>
        <v>0.507158</v>
      </c>
      <c r="W7" s="21" t="s">
        <v>256</v>
      </c>
      <c r="X7" s="28" t="s">
        <v>260</v>
      </c>
      <c r="Y7" s="28">
        <v>2000</v>
      </c>
      <c r="Z7" s="25" t="s">
        <v>257</v>
      </c>
    </row>
    <row r="8" spans="1:26" ht="17.25" customHeight="1" x14ac:dyDescent="0.3">
      <c r="A8" s="3"/>
      <c r="B8" s="3"/>
      <c r="J8" s="19" t="s">
        <v>274</v>
      </c>
      <c r="K8" s="26" t="s">
        <v>580</v>
      </c>
      <c r="L8" s="26" t="s">
        <v>268</v>
      </c>
      <c r="M8" s="87">
        <f>'0. Wood Heating Value Data'!G77</f>
        <v>12462045.119834222</v>
      </c>
      <c r="N8" s="88" t="s">
        <v>258</v>
      </c>
      <c r="P8" s="19" t="s">
        <v>434</v>
      </c>
      <c r="Q8" s="26" t="s">
        <v>436</v>
      </c>
      <c r="R8" s="26">
        <v>1075</v>
      </c>
      <c r="S8" s="37">
        <f t="shared" si="0"/>
        <v>67.08</v>
      </c>
      <c r="T8" s="26">
        <v>3.7410000000000001</v>
      </c>
      <c r="U8" s="63">
        <f t="shared" si="1"/>
        <v>0.89409899999999998</v>
      </c>
    </row>
    <row r="9" spans="1:26" ht="17.25" customHeight="1" x14ac:dyDescent="0.3">
      <c r="A9" s="3"/>
      <c r="B9" s="3"/>
      <c r="J9" s="19" t="s">
        <v>276</v>
      </c>
      <c r="K9" s="26" t="s">
        <v>581</v>
      </c>
      <c r="L9" s="26" t="s">
        <v>278</v>
      </c>
      <c r="M9" s="87"/>
      <c r="N9" s="88" t="s">
        <v>277</v>
      </c>
      <c r="P9" s="19" t="s">
        <v>350</v>
      </c>
      <c r="Q9" s="26" t="s">
        <v>78</v>
      </c>
      <c r="R9" s="26">
        <v>2300</v>
      </c>
      <c r="S9" s="37">
        <f t="shared" si="0"/>
        <v>143.51999999999998</v>
      </c>
      <c r="T9" s="26">
        <v>2.4</v>
      </c>
      <c r="U9" s="63">
        <f t="shared" si="1"/>
        <v>0.5736</v>
      </c>
    </row>
    <row r="10" spans="1:26" ht="17.25" customHeight="1" x14ac:dyDescent="0.3">
      <c r="A10" s="3"/>
      <c r="B10" s="3"/>
      <c r="J10" s="19" t="s">
        <v>559</v>
      </c>
      <c r="K10" s="26" t="s">
        <v>560</v>
      </c>
      <c r="L10" s="26" t="s">
        <v>561</v>
      </c>
      <c r="M10" s="87">
        <v>947817</v>
      </c>
      <c r="N10" s="88" t="s">
        <v>562</v>
      </c>
      <c r="O10" s="3"/>
      <c r="P10" s="19" t="s">
        <v>351</v>
      </c>
      <c r="Q10" s="26" t="s">
        <v>78</v>
      </c>
      <c r="R10" s="26">
        <v>2400</v>
      </c>
      <c r="S10" s="37">
        <f t="shared" si="0"/>
        <v>149.76</v>
      </c>
      <c r="T10" s="26">
        <v>1.8959999999999999</v>
      </c>
      <c r="U10" s="63">
        <f t="shared" si="1"/>
        <v>0.45314399999999994</v>
      </c>
    </row>
    <row r="11" spans="1:26" ht="17.25" customHeight="1" x14ac:dyDescent="0.3">
      <c r="B11" s="3"/>
      <c r="J11" s="19" t="s">
        <v>563</v>
      </c>
      <c r="K11" s="26" t="s">
        <v>589</v>
      </c>
      <c r="L11" s="26" t="s">
        <v>564</v>
      </c>
      <c r="M11" s="87">
        <v>36316</v>
      </c>
      <c r="N11" s="88" t="s">
        <v>565</v>
      </c>
      <c r="O11" s="3"/>
      <c r="P11" s="19" t="s">
        <v>346</v>
      </c>
      <c r="Q11" s="26" t="s">
        <v>78</v>
      </c>
      <c r="R11" s="26">
        <v>2400</v>
      </c>
      <c r="S11" s="37">
        <f t="shared" si="0"/>
        <v>149.76</v>
      </c>
      <c r="T11" s="26">
        <v>1.8959999999999999</v>
      </c>
      <c r="U11" s="63">
        <f t="shared" si="1"/>
        <v>0.45314399999999994</v>
      </c>
    </row>
    <row r="12" spans="1:26" ht="17.25" customHeight="1" thickBot="1" x14ac:dyDescent="0.35">
      <c r="J12" s="19" t="s">
        <v>566</v>
      </c>
      <c r="K12" s="26" t="s">
        <v>372</v>
      </c>
      <c r="L12" s="26" t="s">
        <v>567</v>
      </c>
      <c r="M12" s="87">
        <v>21600</v>
      </c>
      <c r="N12" s="88" t="s">
        <v>568</v>
      </c>
      <c r="O12" s="3"/>
      <c r="P12" s="21" t="s">
        <v>345</v>
      </c>
      <c r="Q12" s="28" t="s">
        <v>436</v>
      </c>
      <c r="R12" s="28">
        <v>1000</v>
      </c>
      <c r="S12" s="35">
        <f t="shared" si="0"/>
        <v>62.4</v>
      </c>
      <c r="T12" s="28">
        <v>4.1900000000000004</v>
      </c>
      <c r="U12" s="64">
        <f t="shared" si="1"/>
        <v>1.0014100000000001</v>
      </c>
    </row>
    <row r="13" spans="1:26" ht="17.25" customHeight="1" x14ac:dyDescent="0.3">
      <c r="J13" s="19" t="s">
        <v>569</v>
      </c>
      <c r="K13" s="26" t="s">
        <v>589</v>
      </c>
      <c r="L13" s="26" t="s">
        <v>564</v>
      </c>
      <c r="M13" s="87">
        <v>23947.4</v>
      </c>
      <c r="N13" s="88" t="s">
        <v>570</v>
      </c>
      <c r="O13" s="3"/>
      <c r="P13" s="3"/>
      <c r="Q13" s="3"/>
      <c r="R13" s="3"/>
      <c r="S13" s="38"/>
      <c r="T13" s="3"/>
      <c r="U13" s="3"/>
    </row>
    <row r="14" spans="1:26" ht="17.25" customHeight="1" thickBot="1" x14ac:dyDescent="0.35">
      <c r="J14" s="21" t="s">
        <v>571</v>
      </c>
      <c r="K14" s="28" t="s">
        <v>252</v>
      </c>
      <c r="L14" s="28" t="s">
        <v>572</v>
      </c>
      <c r="M14" s="153">
        <v>91600</v>
      </c>
      <c r="N14" s="89" t="s">
        <v>272</v>
      </c>
      <c r="O14" s="3"/>
      <c r="P14" s="38"/>
      <c r="Q14" s="38"/>
      <c r="R14" s="86"/>
      <c r="S14" s="38"/>
      <c r="T14" s="3"/>
      <c r="U14" s="3"/>
    </row>
    <row r="15" spans="1:26" ht="17.25" customHeight="1" x14ac:dyDescent="0.3">
      <c r="M15" s="3"/>
      <c r="O15" s="3"/>
      <c r="P15" s="38"/>
      <c r="Q15" s="38"/>
      <c r="R15" s="3"/>
      <c r="S15" s="38"/>
      <c r="T15" s="3"/>
      <c r="U15" s="3"/>
    </row>
    <row r="16" spans="1:26" ht="17.25" customHeight="1" x14ac:dyDescent="0.3">
      <c r="M16" s="3"/>
      <c r="O16" s="3"/>
      <c r="P16" s="38"/>
      <c r="Q16" s="38"/>
      <c r="R16" s="3"/>
      <c r="S16" s="38"/>
      <c r="T16" s="3"/>
      <c r="U16" s="3"/>
    </row>
    <row r="17" spans="4:21" ht="17.25" customHeight="1" x14ac:dyDescent="0.3">
      <c r="H17" s="3"/>
      <c r="I17" s="38"/>
      <c r="J17" s="38"/>
      <c r="K17" s="3"/>
      <c r="L17" s="3"/>
      <c r="M17" s="3"/>
      <c r="O17" s="3"/>
      <c r="P17" s="3"/>
      <c r="Q17" s="3"/>
      <c r="R17" s="3"/>
      <c r="S17" s="3"/>
      <c r="T17" s="3"/>
      <c r="U17" s="3"/>
    </row>
    <row r="18" spans="4:21" ht="17.25" customHeight="1" x14ac:dyDescent="0.3">
      <c r="O18" s="3"/>
      <c r="P18" s="3"/>
      <c r="Q18" s="3"/>
      <c r="R18" s="3"/>
      <c r="S18" s="3"/>
      <c r="T18" s="3"/>
      <c r="U18" s="3"/>
    </row>
    <row r="19" spans="4:21" ht="17.25" customHeight="1" thickBot="1" x14ac:dyDescent="0.35">
      <c r="O19" s="3"/>
      <c r="P19" s="3"/>
      <c r="Q19" s="3"/>
      <c r="R19" s="85"/>
      <c r="S19" s="38"/>
      <c r="T19" s="3"/>
      <c r="U19" s="3"/>
    </row>
    <row r="20" spans="4:21" s="43" customFormat="1" ht="17.25" customHeight="1" thickBot="1" x14ac:dyDescent="0.35">
      <c r="E20" s="390" t="s">
        <v>23</v>
      </c>
      <c r="F20" s="391"/>
      <c r="H20"/>
      <c r="I20"/>
      <c r="K20"/>
      <c r="O20" s="3"/>
      <c r="P20" s="3"/>
      <c r="Q20" s="3"/>
      <c r="R20" s="3"/>
      <c r="S20" s="38"/>
      <c r="T20" s="3"/>
      <c r="U20" s="3"/>
    </row>
    <row r="21" spans="4:21" ht="17.25" customHeight="1" thickBot="1" x14ac:dyDescent="0.35">
      <c r="K21" s="43"/>
      <c r="O21" s="3"/>
      <c r="P21" s="3"/>
      <c r="Q21" s="3"/>
      <c r="R21" s="85"/>
      <c r="S21" s="38"/>
      <c r="T21" s="3"/>
      <c r="U21" s="3"/>
    </row>
    <row r="22" spans="4:21" ht="17.25" customHeight="1" thickBot="1" x14ac:dyDescent="0.35">
      <c r="D22" s="69" t="s">
        <v>5</v>
      </c>
      <c r="E22" s="95" t="s">
        <v>93</v>
      </c>
      <c r="F22" s="96" t="s">
        <v>94</v>
      </c>
      <c r="H22" s="7" t="s">
        <v>399</v>
      </c>
      <c r="I22" s="8">
        <f>(356*24)/12</f>
        <v>712</v>
      </c>
      <c r="O22" s="3"/>
      <c r="P22" s="3"/>
      <c r="Q22" s="3"/>
      <c r="R22" s="3"/>
      <c r="S22" s="38"/>
      <c r="T22" s="3"/>
      <c r="U22" s="3"/>
    </row>
    <row r="23" spans="4:21" ht="17.25" customHeight="1" x14ac:dyDescent="0.3">
      <c r="D23" s="92" t="s">
        <v>7</v>
      </c>
      <c r="E23" s="93">
        <f>'1.Climate Data'!D10</f>
        <v>622</v>
      </c>
      <c r="F23" s="94">
        <f t="shared" ref="F23:F34" si="2">E23/$E$36</f>
        <v>0.24145962732919254</v>
      </c>
      <c r="G23" s="77"/>
    </row>
    <row r="24" spans="4:21" ht="17.25" customHeight="1" x14ac:dyDescent="0.3">
      <c r="D24" s="19" t="s">
        <v>8</v>
      </c>
      <c r="E24" s="47">
        <f>'1.Climate Data'!E10</f>
        <v>579</v>
      </c>
      <c r="F24" s="90">
        <f t="shared" si="2"/>
        <v>0.2247670807453416</v>
      </c>
      <c r="G24" s="77"/>
      <c r="H24" s="43"/>
    </row>
    <row r="25" spans="4:21" ht="17.25" customHeight="1" x14ac:dyDescent="0.3">
      <c r="D25" s="19" t="s">
        <v>0</v>
      </c>
      <c r="E25" s="47">
        <f>'1.Climate Data'!F10</f>
        <v>150</v>
      </c>
      <c r="F25" s="90">
        <f t="shared" si="2"/>
        <v>5.8229813664596272E-2</v>
      </c>
      <c r="G25" s="77"/>
    </row>
    <row r="26" spans="4:21" ht="17.25" customHeight="1" x14ac:dyDescent="0.3">
      <c r="D26" s="19" t="s">
        <v>1</v>
      </c>
      <c r="E26" s="47">
        <f>'1.Climate Data'!G10</f>
        <v>30</v>
      </c>
      <c r="F26" s="90">
        <f t="shared" si="2"/>
        <v>1.1645962732919254E-2</v>
      </c>
      <c r="G26" s="77"/>
    </row>
    <row r="27" spans="4:21" ht="17.25" customHeight="1" x14ac:dyDescent="0.3">
      <c r="D27" s="19" t="s">
        <v>2</v>
      </c>
      <c r="E27" s="47">
        <f>'1.Climate Data'!H10</f>
        <v>13</v>
      </c>
      <c r="F27" s="90">
        <f t="shared" si="2"/>
        <v>5.046583850931677E-3</v>
      </c>
      <c r="G27" s="77"/>
    </row>
    <row r="28" spans="4:21" ht="17.25" customHeight="1" x14ac:dyDescent="0.3">
      <c r="D28" s="19" t="s">
        <v>3</v>
      </c>
      <c r="E28" s="47">
        <f>'1.Climate Data'!I10</f>
        <v>0</v>
      </c>
      <c r="F28" s="90">
        <f t="shared" si="2"/>
        <v>0</v>
      </c>
      <c r="G28" s="77"/>
    </row>
    <row r="29" spans="4:21" ht="17.25" customHeight="1" x14ac:dyDescent="0.3">
      <c r="D29" s="19" t="s">
        <v>4</v>
      </c>
      <c r="E29" s="47">
        <f>'1.Climate Data'!J10</f>
        <v>0</v>
      </c>
      <c r="F29" s="90">
        <f t="shared" si="2"/>
        <v>0</v>
      </c>
      <c r="G29" s="77"/>
    </row>
    <row r="30" spans="4:21" ht="17.25" customHeight="1" x14ac:dyDescent="0.3">
      <c r="D30" s="19" t="s">
        <v>9</v>
      </c>
      <c r="E30" s="47">
        <f>'1.Climate Data'!K10</f>
        <v>0</v>
      </c>
      <c r="F30" s="90">
        <f t="shared" si="2"/>
        <v>0</v>
      </c>
      <c r="G30" s="77"/>
    </row>
    <row r="31" spans="4:21" ht="17.25" customHeight="1" x14ac:dyDescent="0.3">
      <c r="D31" s="19" t="s">
        <v>10</v>
      </c>
      <c r="E31" s="47">
        <f>'1.Climate Data'!L10</f>
        <v>4</v>
      </c>
      <c r="F31" s="90">
        <f t="shared" si="2"/>
        <v>1.5527950310559005E-3</v>
      </c>
      <c r="G31" s="77"/>
    </row>
    <row r="32" spans="4:21" ht="17.25" customHeight="1" x14ac:dyDescent="0.3">
      <c r="D32" s="19" t="s">
        <v>92</v>
      </c>
      <c r="E32" s="47">
        <f>'1.Climate Data'!M10</f>
        <v>164</v>
      </c>
      <c r="F32" s="90">
        <f t="shared" si="2"/>
        <v>6.3664596273291921E-2</v>
      </c>
      <c r="G32" s="77"/>
    </row>
    <row r="33" spans="4:7" x14ac:dyDescent="0.3">
      <c r="D33" s="19" t="s">
        <v>11</v>
      </c>
      <c r="E33" s="47">
        <f>'1.Climate Data'!N10</f>
        <v>206</v>
      </c>
      <c r="F33" s="90">
        <f t="shared" si="2"/>
        <v>7.996894409937888E-2</v>
      </c>
      <c r="G33" s="77"/>
    </row>
    <row r="34" spans="4:7" ht="15" thickBot="1" x14ac:dyDescent="0.35">
      <c r="D34" s="21" t="s">
        <v>12</v>
      </c>
      <c r="E34" s="48">
        <f>'1.Climate Data'!O10</f>
        <v>808</v>
      </c>
      <c r="F34" s="91">
        <f t="shared" si="2"/>
        <v>0.31366459627329191</v>
      </c>
      <c r="G34" s="77"/>
    </row>
    <row r="36" spans="4:7" x14ac:dyDescent="0.3">
      <c r="D36" t="s">
        <v>6</v>
      </c>
      <c r="E36">
        <f>SUM(E23:E34)</f>
        <v>2576</v>
      </c>
      <c r="G36" s="77"/>
    </row>
  </sheetData>
  <sheetProtection password="F31D" sheet="1" objects="1" scenarios="1" formatCells="0" selectLockedCells="1" sort="0" autoFilter="0"/>
  <mergeCells count="6">
    <mergeCell ref="W2:Z3"/>
    <mergeCell ref="A1:B1"/>
    <mergeCell ref="D1:H1"/>
    <mergeCell ref="E20:F20"/>
    <mergeCell ref="R2:S2"/>
    <mergeCell ref="T2:U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sheetPr>
  <dimension ref="B2:AD111"/>
  <sheetViews>
    <sheetView topLeftCell="Q1" zoomScale="70" zoomScaleNormal="70" workbookViewId="0">
      <selection activeCell="S1" sqref="S1:AD1048576"/>
    </sheetView>
  </sheetViews>
  <sheetFormatPr defaultRowHeight="14.4" x14ac:dyDescent="0.3"/>
  <cols>
    <col min="2" max="2" width="21.5546875" customWidth="1"/>
    <col min="4" max="4" width="29.6640625" customWidth="1"/>
    <col min="5" max="5" width="20.33203125" customWidth="1"/>
    <col min="6" max="6" width="11.44140625" customWidth="1"/>
    <col min="7" max="7" width="19.33203125" customWidth="1"/>
    <col min="8" max="8" width="18.33203125" customWidth="1"/>
    <col min="9" max="9" width="38.33203125" customWidth="1"/>
    <col min="10" max="10" width="15.109375" customWidth="1"/>
    <col min="11" max="11" width="11.33203125" customWidth="1"/>
    <col min="12" max="12" width="25" customWidth="1"/>
    <col min="13" max="13" width="21.44140625" customWidth="1"/>
    <col min="14" max="14" width="26" customWidth="1"/>
    <col min="15" max="15" width="21.33203125" customWidth="1"/>
    <col min="16" max="16" width="29.33203125" customWidth="1"/>
    <col min="19" max="19" width="22.6640625" customWidth="1"/>
    <col min="20" max="20" width="22.6640625" style="43" customWidth="1"/>
    <col min="21" max="21" width="17" style="43" customWidth="1"/>
    <col min="22" max="22" width="15.88671875" customWidth="1"/>
    <col min="23" max="28" width="15.88671875" style="43" customWidth="1"/>
    <col min="29" max="29" width="43.6640625" customWidth="1"/>
    <col min="30" max="30" width="40.6640625" customWidth="1"/>
  </cols>
  <sheetData>
    <row r="2" spans="2:30" x14ac:dyDescent="0.3">
      <c r="D2" s="39"/>
      <c r="E2" s="3"/>
      <c r="F2" s="3"/>
      <c r="G2" s="3"/>
      <c r="H2" s="3"/>
      <c r="I2" s="3"/>
      <c r="J2" s="3"/>
      <c r="K2" s="3"/>
      <c r="L2" s="3"/>
      <c r="M2" s="3"/>
    </row>
    <row r="3" spans="2:30" ht="15" thickBot="1" x14ac:dyDescent="0.35">
      <c r="D3" s="3"/>
      <c r="E3" s="3"/>
      <c r="F3" s="3"/>
      <c r="G3" s="3"/>
      <c r="H3" s="3"/>
      <c r="I3" s="3"/>
      <c r="J3" s="3"/>
      <c r="K3" s="3"/>
      <c r="L3" s="3"/>
      <c r="M3" s="3"/>
      <c r="N3" s="3"/>
      <c r="O3" s="3"/>
      <c r="P3" s="3"/>
      <c r="Q3" s="3"/>
    </row>
    <row r="4" spans="2:30" ht="28.8" x14ac:dyDescent="0.3">
      <c r="D4" s="3"/>
      <c r="E4" s="395"/>
      <c r="F4" s="395"/>
      <c r="G4" s="3"/>
      <c r="H4" s="404"/>
      <c r="I4" s="404"/>
      <c r="J4" s="404"/>
      <c r="K4" s="404"/>
      <c r="L4" s="404"/>
      <c r="M4" s="404"/>
      <c r="N4" s="43"/>
      <c r="O4" s="43"/>
      <c r="P4" s="43"/>
      <c r="Q4" s="43"/>
      <c r="R4" s="43"/>
      <c r="S4" s="18" t="s">
        <v>282</v>
      </c>
      <c r="T4" s="65"/>
      <c r="U4" s="27" t="s">
        <v>291</v>
      </c>
      <c r="V4" s="27" t="s">
        <v>296</v>
      </c>
      <c r="W4" s="27" t="s">
        <v>304</v>
      </c>
      <c r="X4" s="53" t="s">
        <v>300</v>
      </c>
      <c r="Y4" s="53" t="s">
        <v>305</v>
      </c>
      <c r="Z4" s="409" t="s">
        <v>306</v>
      </c>
      <c r="AA4" s="30"/>
      <c r="AB4" s="27" t="s">
        <v>298</v>
      </c>
      <c r="AC4" s="27" t="s">
        <v>284</v>
      </c>
      <c r="AD4" s="23" t="s">
        <v>285</v>
      </c>
    </row>
    <row r="5" spans="2:30" x14ac:dyDescent="0.3">
      <c r="D5" s="3"/>
      <c r="E5" s="3"/>
      <c r="F5" s="3"/>
      <c r="G5" s="3"/>
      <c r="H5" s="404"/>
      <c r="I5" s="404"/>
      <c r="J5" s="404"/>
      <c r="K5" s="404"/>
      <c r="L5" s="404"/>
      <c r="M5" s="404"/>
      <c r="N5" s="43"/>
      <c r="O5" s="43"/>
      <c r="P5" s="43"/>
      <c r="Q5" s="43"/>
      <c r="R5" s="43"/>
      <c r="S5" s="19"/>
      <c r="T5" s="47"/>
      <c r="U5" s="26"/>
      <c r="V5" s="26" t="s">
        <v>297</v>
      </c>
      <c r="W5" s="26"/>
      <c r="X5" s="26" t="s">
        <v>24</v>
      </c>
      <c r="Y5" s="26" t="s">
        <v>288</v>
      </c>
      <c r="Z5" s="410"/>
      <c r="AA5" s="31"/>
      <c r="AB5" s="26" t="s">
        <v>299</v>
      </c>
      <c r="AC5" s="26"/>
      <c r="AD5" s="24"/>
    </row>
    <row r="6" spans="2:30" ht="72" x14ac:dyDescent="0.3">
      <c r="D6" s="3"/>
      <c r="E6" s="3"/>
      <c r="F6" s="3"/>
      <c r="G6" s="3"/>
      <c r="H6" s="404"/>
      <c r="I6" s="404"/>
      <c r="J6" s="404"/>
      <c r="K6" s="404"/>
      <c r="L6" s="404"/>
      <c r="M6" s="404"/>
      <c r="N6" s="43"/>
      <c r="O6" s="43"/>
      <c r="P6" s="43"/>
      <c r="Q6" s="43"/>
      <c r="R6" s="43"/>
      <c r="S6" s="20" t="s">
        <v>576</v>
      </c>
      <c r="T6" s="66"/>
      <c r="U6" s="51" t="s">
        <v>293</v>
      </c>
      <c r="V6" s="26">
        <v>62.5</v>
      </c>
      <c r="W6" s="26">
        <v>140</v>
      </c>
      <c r="X6" s="26" t="s">
        <v>301</v>
      </c>
      <c r="Y6" s="26">
        <v>600</v>
      </c>
      <c r="Z6" s="50">
        <v>150</v>
      </c>
      <c r="AA6" s="52" t="s">
        <v>309</v>
      </c>
      <c r="AB6" s="41">
        <v>18000</v>
      </c>
      <c r="AC6" s="49" t="s">
        <v>393</v>
      </c>
      <c r="AD6" s="54" t="s">
        <v>398</v>
      </c>
    </row>
    <row r="7" spans="2:30" ht="57.6" x14ac:dyDescent="0.3">
      <c r="D7" s="3"/>
      <c r="E7" s="3"/>
      <c r="F7" s="3"/>
      <c r="G7" s="3"/>
      <c r="H7" s="404"/>
      <c r="I7" s="404"/>
      <c r="J7" s="404"/>
      <c r="K7" s="404"/>
      <c r="L7" s="404"/>
      <c r="M7" s="404"/>
      <c r="N7" s="43"/>
      <c r="O7" s="43"/>
      <c r="P7" s="43"/>
      <c r="Q7" s="43"/>
      <c r="R7" s="43"/>
      <c r="S7" s="19" t="s">
        <v>287</v>
      </c>
      <c r="T7" s="47"/>
      <c r="U7" s="26" t="s">
        <v>283</v>
      </c>
      <c r="V7" s="26">
        <v>32</v>
      </c>
      <c r="W7" s="26">
        <v>25</v>
      </c>
      <c r="X7" s="26" t="s">
        <v>302</v>
      </c>
      <c r="Y7" s="26">
        <v>70</v>
      </c>
      <c r="Z7" s="50">
        <v>200</v>
      </c>
      <c r="AA7" s="50" t="s">
        <v>308</v>
      </c>
      <c r="AB7" s="41">
        <v>100000</v>
      </c>
      <c r="AC7" s="51" t="s">
        <v>394</v>
      </c>
      <c r="AD7" s="24" t="s">
        <v>295</v>
      </c>
    </row>
    <row r="8" spans="2:30" ht="140.25" customHeight="1" x14ac:dyDescent="0.3">
      <c r="D8" s="3"/>
      <c r="E8" s="3"/>
      <c r="F8" s="3"/>
      <c r="G8" s="3"/>
      <c r="H8" s="404"/>
      <c r="I8" s="404"/>
      <c r="J8" s="404"/>
      <c r="K8" s="404"/>
      <c r="L8" s="404"/>
      <c r="M8" s="404"/>
      <c r="N8" s="43"/>
      <c r="O8" s="43"/>
      <c r="P8" s="43"/>
      <c r="Q8" s="43"/>
      <c r="R8" s="43"/>
      <c r="S8" s="20" t="s">
        <v>313</v>
      </c>
      <c r="T8" s="66"/>
      <c r="U8" s="51" t="s">
        <v>292</v>
      </c>
      <c r="V8" s="26">
        <v>62.5</v>
      </c>
      <c r="W8" s="26">
        <v>125</v>
      </c>
      <c r="X8" s="26" t="s">
        <v>303</v>
      </c>
      <c r="Y8" s="26">
        <v>500</v>
      </c>
      <c r="Z8" s="50">
        <v>150</v>
      </c>
      <c r="AA8" s="52" t="s">
        <v>309</v>
      </c>
      <c r="AB8" s="41">
        <v>10000</v>
      </c>
      <c r="AC8" s="49" t="s">
        <v>395</v>
      </c>
      <c r="AD8" s="54" t="s">
        <v>294</v>
      </c>
    </row>
    <row r="9" spans="2:30" ht="115.2" x14ac:dyDescent="0.3">
      <c r="D9" s="3"/>
      <c r="E9" s="3"/>
      <c r="F9" s="3"/>
      <c r="G9" s="38"/>
      <c r="H9" s="404"/>
      <c r="I9" s="404"/>
      <c r="J9" s="404"/>
      <c r="K9" s="404"/>
      <c r="L9" s="404"/>
      <c r="M9" s="404"/>
      <c r="N9" s="3"/>
      <c r="O9" s="3"/>
      <c r="P9" s="43"/>
      <c r="Q9" s="3"/>
      <c r="R9" s="43"/>
      <c r="S9" s="19" t="s">
        <v>311</v>
      </c>
      <c r="T9" s="47"/>
      <c r="U9" s="51" t="s">
        <v>289</v>
      </c>
      <c r="V9" s="26">
        <v>50</v>
      </c>
      <c r="W9" s="26">
        <v>110</v>
      </c>
      <c r="X9" s="26" t="s">
        <v>303</v>
      </c>
      <c r="Y9" s="26">
        <v>95</v>
      </c>
      <c r="Z9" s="26" t="s">
        <v>310</v>
      </c>
      <c r="AA9" s="26" t="s">
        <v>307</v>
      </c>
      <c r="AB9" s="41">
        <v>20000</v>
      </c>
      <c r="AC9" s="49" t="s">
        <v>396</v>
      </c>
      <c r="AD9" s="55" t="s">
        <v>286</v>
      </c>
    </row>
    <row r="10" spans="2:30" ht="115.8" thickBot="1" x14ac:dyDescent="0.35">
      <c r="D10" s="12"/>
      <c r="E10" s="12"/>
      <c r="F10" s="12"/>
      <c r="G10" s="43"/>
      <c r="H10" s="43"/>
      <c r="I10" s="43"/>
      <c r="J10" s="43"/>
      <c r="K10" s="43"/>
      <c r="L10" s="43"/>
      <c r="M10" s="43"/>
      <c r="N10" s="3"/>
      <c r="O10" s="3"/>
      <c r="P10" s="43"/>
      <c r="Q10" s="3"/>
      <c r="R10" s="43"/>
      <c r="S10" s="21" t="s">
        <v>312</v>
      </c>
      <c r="T10" s="48"/>
      <c r="U10" s="56" t="s">
        <v>290</v>
      </c>
      <c r="V10" s="28">
        <v>50</v>
      </c>
      <c r="W10" s="28">
        <v>110</v>
      </c>
      <c r="X10" s="28" t="s">
        <v>303</v>
      </c>
      <c r="Y10" s="28">
        <v>95</v>
      </c>
      <c r="Z10" s="57">
        <v>50</v>
      </c>
      <c r="AA10" s="28" t="s">
        <v>307</v>
      </c>
      <c r="AB10" s="58">
        <v>20000</v>
      </c>
      <c r="AC10" s="59" t="s">
        <v>397</v>
      </c>
      <c r="AD10" s="60" t="s">
        <v>286</v>
      </c>
    </row>
    <row r="11" spans="2:30" ht="15" thickBot="1" x14ac:dyDescent="0.35">
      <c r="B11" s="10" t="s">
        <v>26</v>
      </c>
    </row>
    <row r="12" spans="2:30" ht="15" thickBot="1" x14ac:dyDescent="0.35">
      <c r="B12" s="34">
        <v>0.01</v>
      </c>
      <c r="D12" s="10" t="s">
        <v>22</v>
      </c>
      <c r="H12" s="78" t="s">
        <v>392</v>
      </c>
      <c r="J12" t="s">
        <v>429</v>
      </c>
    </row>
    <row r="13" spans="2:30" ht="15" thickBot="1" x14ac:dyDescent="0.35">
      <c r="B13" s="34">
        <v>0.02</v>
      </c>
      <c r="D13" s="13"/>
      <c r="E13" s="407" t="s">
        <v>20</v>
      </c>
      <c r="F13" s="421" t="s">
        <v>21</v>
      </c>
      <c r="H13" s="81">
        <v>1</v>
      </c>
      <c r="J13" t="s">
        <v>430</v>
      </c>
    </row>
    <row r="14" spans="2:30" ht="15" thickBot="1" x14ac:dyDescent="0.35">
      <c r="B14" s="34">
        <v>0.03</v>
      </c>
      <c r="D14" s="8" t="s">
        <v>13</v>
      </c>
      <c r="E14" s="408"/>
      <c r="F14" s="422"/>
      <c r="H14" s="79">
        <v>2</v>
      </c>
      <c r="J14" t="s">
        <v>428</v>
      </c>
    </row>
    <row r="15" spans="2:30" x14ac:dyDescent="0.3">
      <c r="B15" s="34">
        <v>0.04</v>
      </c>
      <c r="D15" s="1" t="s">
        <v>14</v>
      </c>
      <c r="E15" s="15">
        <f>(18+25)/2</f>
        <v>21.5</v>
      </c>
      <c r="F15" s="2">
        <v>10</v>
      </c>
    </row>
    <row r="16" spans="2:30" x14ac:dyDescent="0.3">
      <c r="B16" s="34">
        <v>0.05</v>
      </c>
      <c r="D16" s="11" t="s">
        <v>15</v>
      </c>
      <c r="E16" s="16">
        <f>(25+35)/2</f>
        <v>30</v>
      </c>
      <c r="F16" s="4">
        <v>10</v>
      </c>
    </row>
    <row r="17" spans="2:14" x14ac:dyDescent="0.3">
      <c r="B17" s="34">
        <v>0.06</v>
      </c>
      <c r="D17" s="11" t="s">
        <v>16</v>
      </c>
      <c r="E17" s="16">
        <f>(25+35)/2</f>
        <v>30</v>
      </c>
      <c r="F17" s="4">
        <v>20</v>
      </c>
    </row>
    <row r="18" spans="2:14" x14ac:dyDescent="0.3">
      <c r="B18" s="34">
        <v>7.0000000000000007E-2</v>
      </c>
      <c r="D18" s="11" t="s">
        <v>17</v>
      </c>
      <c r="E18" s="16">
        <f>(35+46)/2</f>
        <v>40.5</v>
      </c>
      <c r="F18" s="4">
        <v>20</v>
      </c>
    </row>
    <row r="19" spans="2:14" x14ac:dyDescent="0.3">
      <c r="B19" s="34">
        <v>0.08</v>
      </c>
      <c r="D19" s="11" t="s">
        <v>18</v>
      </c>
      <c r="E19" s="16">
        <f>(35+50)/2</f>
        <v>42.5</v>
      </c>
      <c r="F19" s="4">
        <v>40</v>
      </c>
    </row>
    <row r="20" spans="2:14" ht="15" thickBot="1" x14ac:dyDescent="0.35">
      <c r="B20" s="34">
        <v>0.09</v>
      </c>
      <c r="D20" s="5" t="s">
        <v>19</v>
      </c>
      <c r="E20" s="17">
        <f>(50+81)/2</f>
        <v>65.5</v>
      </c>
      <c r="F20" s="6">
        <v>40</v>
      </c>
    </row>
    <row r="21" spans="2:14" ht="15" thickBot="1" x14ac:dyDescent="0.35">
      <c r="B21" s="34">
        <v>0.1</v>
      </c>
    </row>
    <row r="22" spans="2:14" ht="15" thickBot="1" x14ac:dyDescent="0.35">
      <c r="B22" s="34">
        <v>0.11</v>
      </c>
      <c r="I22" s="415" t="s">
        <v>341</v>
      </c>
      <c r="J22" s="411" t="s">
        <v>340</v>
      </c>
      <c r="K22" s="411"/>
      <c r="L22" s="412"/>
      <c r="N22" s="84" t="s">
        <v>279</v>
      </c>
    </row>
    <row r="23" spans="2:14" x14ac:dyDescent="0.3">
      <c r="B23" s="34">
        <v>0.12</v>
      </c>
      <c r="D23" t="s">
        <v>314</v>
      </c>
      <c r="F23" t="s">
        <v>343</v>
      </c>
      <c r="I23" s="416"/>
      <c r="J23" s="413"/>
      <c r="K23" s="413"/>
      <c r="L23" s="414"/>
      <c r="N23" s="80"/>
    </row>
    <row r="24" spans="2:14" ht="15" thickBot="1" x14ac:dyDescent="0.35">
      <c r="B24" s="34">
        <v>0.13</v>
      </c>
      <c r="F24" t="s">
        <v>24</v>
      </c>
      <c r="I24" s="416"/>
      <c r="J24" s="3" t="s">
        <v>337</v>
      </c>
      <c r="K24" s="3" t="s">
        <v>338</v>
      </c>
      <c r="L24" s="4" t="s">
        <v>339</v>
      </c>
      <c r="N24" s="81">
        <v>1</v>
      </c>
    </row>
    <row r="25" spans="2:14" x14ac:dyDescent="0.3">
      <c r="B25" s="34">
        <v>0.14000000000000001</v>
      </c>
      <c r="D25">
        <v>1</v>
      </c>
      <c r="F25">
        <v>4.5</v>
      </c>
      <c r="I25" s="18" t="s">
        <v>315</v>
      </c>
      <c r="J25" s="27">
        <v>130</v>
      </c>
      <c r="K25" s="27">
        <f>AVERAGE(J25,L25)</f>
        <v>130</v>
      </c>
      <c r="L25" s="23"/>
      <c r="N25" s="81">
        <v>2</v>
      </c>
    </row>
    <row r="26" spans="2:14" x14ac:dyDescent="0.3">
      <c r="B26" s="34">
        <v>0.15</v>
      </c>
      <c r="D26">
        <v>2</v>
      </c>
      <c r="F26">
        <v>6</v>
      </c>
      <c r="I26" s="19" t="s">
        <v>316</v>
      </c>
      <c r="J26" s="26">
        <v>130</v>
      </c>
      <c r="K26" s="26">
        <f t="shared" ref="K26:K48" si="0">AVERAGE(J26,L26)</f>
        <v>140</v>
      </c>
      <c r="L26" s="24">
        <v>150</v>
      </c>
      <c r="N26" s="81">
        <v>3</v>
      </c>
    </row>
    <row r="27" spans="2:14" x14ac:dyDescent="0.3">
      <c r="B27" s="34">
        <v>0.16</v>
      </c>
      <c r="D27">
        <v>3</v>
      </c>
      <c r="F27">
        <v>8</v>
      </c>
      <c r="I27" s="19" t="s">
        <v>317</v>
      </c>
      <c r="J27" s="26">
        <v>90</v>
      </c>
      <c r="K27" s="26">
        <f t="shared" si="0"/>
        <v>95</v>
      </c>
      <c r="L27" s="24">
        <v>100</v>
      </c>
      <c r="N27" s="81">
        <v>4</v>
      </c>
    </row>
    <row r="28" spans="2:14" x14ac:dyDescent="0.3">
      <c r="B28" s="34">
        <v>0.17</v>
      </c>
      <c r="D28">
        <v>4</v>
      </c>
      <c r="F28">
        <v>10</v>
      </c>
      <c r="I28" s="19" t="s">
        <v>342</v>
      </c>
      <c r="J28" s="26">
        <v>40</v>
      </c>
      <c r="K28" s="26">
        <f>AVERAGE(J28,L28)</f>
        <v>50</v>
      </c>
      <c r="L28" s="24">
        <v>60</v>
      </c>
      <c r="N28" s="82">
        <v>5</v>
      </c>
    </row>
    <row r="29" spans="2:14" x14ac:dyDescent="0.3">
      <c r="B29" s="34">
        <v>0.18</v>
      </c>
      <c r="D29">
        <v>5</v>
      </c>
      <c r="F29">
        <v>12</v>
      </c>
      <c r="I29" s="19" t="s">
        <v>318</v>
      </c>
      <c r="J29" s="26">
        <v>130</v>
      </c>
      <c r="K29" s="26">
        <f t="shared" si="0"/>
        <v>130</v>
      </c>
      <c r="L29" s="24"/>
      <c r="N29" s="82">
        <v>6</v>
      </c>
    </row>
    <row r="30" spans="2:14" x14ac:dyDescent="0.3">
      <c r="B30" s="34">
        <v>0.19</v>
      </c>
      <c r="D30">
        <v>6</v>
      </c>
      <c r="F30">
        <v>14</v>
      </c>
      <c r="I30" s="19" t="s">
        <v>319</v>
      </c>
      <c r="J30" s="26">
        <v>107</v>
      </c>
      <c r="K30" s="26">
        <f t="shared" si="0"/>
        <v>110</v>
      </c>
      <c r="L30" s="24">
        <v>113</v>
      </c>
      <c r="N30" s="82">
        <v>7</v>
      </c>
    </row>
    <row r="31" spans="2:14" x14ac:dyDescent="0.3">
      <c r="B31" s="34">
        <v>0.2</v>
      </c>
      <c r="D31" s="43">
        <v>7</v>
      </c>
      <c r="F31">
        <v>16</v>
      </c>
      <c r="I31" s="19" t="s">
        <v>320</v>
      </c>
      <c r="J31" s="26">
        <v>89</v>
      </c>
      <c r="K31" s="26">
        <f t="shared" si="0"/>
        <v>94.5</v>
      </c>
      <c r="L31" s="24">
        <v>100</v>
      </c>
      <c r="N31" s="82">
        <v>8</v>
      </c>
    </row>
    <row r="32" spans="2:14" x14ac:dyDescent="0.3">
      <c r="B32" s="34">
        <v>0.21</v>
      </c>
      <c r="D32" s="43">
        <v>8</v>
      </c>
      <c r="F32">
        <v>18</v>
      </c>
      <c r="I32" s="19" t="s">
        <v>321</v>
      </c>
      <c r="J32" s="26">
        <v>75</v>
      </c>
      <c r="K32" s="26">
        <f t="shared" si="0"/>
        <v>82.5</v>
      </c>
      <c r="L32" s="24">
        <v>90</v>
      </c>
      <c r="N32" s="82">
        <v>9</v>
      </c>
    </row>
    <row r="33" spans="2:23" ht="15" thickBot="1" x14ac:dyDescent="0.35">
      <c r="B33" s="34">
        <v>0.22</v>
      </c>
      <c r="D33" s="43">
        <v>9</v>
      </c>
      <c r="F33">
        <v>20</v>
      </c>
      <c r="I33" s="19" t="s">
        <v>322</v>
      </c>
      <c r="J33" s="26">
        <v>64</v>
      </c>
      <c r="K33" s="26">
        <f t="shared" si="0"/>
        <v>73.5</v>
      </c>
      <c r="L33" s="24">
        <v>83</v>
      </c>
      <c r="N33" s="83">
        <v>10</v>
      </c>
    </row>
    <row r="34" spans="2:23" x14ac:dyDescent="0.3">
      <c r="B34" s="34">
        <v>0.23</v>
      </c>
      <c r="D34" s="43">
        <v>10</v>
      </c>
      <c r="F34">
        <v>22</v>
      </c>
      <c r="I34" s="19" t="s">
        <v>323</v>
      </c>
      <c r="J34" s="26">
        <v>100</v>
      </c>
      <c r="K34" s="26">
        <f t="shared" si="0"/>
        <v>120</v>
      </c>
      <c r="L34" s="24">
        <v>140</v>
      </c>
    </row>
    <row r="35" spans="2:23" x14ac:dyDescent="0.3">
      <c r="B35" s="34">
        <v>0.24</v>
      </c>
      <c r="D35" s="43">
        <v>11</v>
      </c>
      <c r="F35">
        <v>24</v>
      </c>
      <c r="I35" s="19" t="s">
        <v>324</v>
      </c>
      <c r="J35" s="26">
        <v>60</v>
      </c>
      <c r="K35" s="26">
        <f t="shared" si="0"/>
        <v>60</v>
      </c>
      <c r="L35" s="24"/>
    </row>
    <row r="36" spans="2:23" x14ac:dyDescent="0.3">
      <c r="B36" s="34">
        <v>0.25</v>
      </c>
      <c r="D36" s="43">
        <v>12</v>
      </c>
      <c r="F36">
        <v>26</v>
      </c>
      <c r="I36" s="19" t="s">
        <v>325</v>
      </c>
      <c r="J36" s="26">
        <v>150</v>
      </c>
      <c r="K36" s="26">
        <f t="shared" si="0"/>
        <v>150</v>
      </c>
      <c r="L36" s="24"/>
      <c r="N36" t="s">
        <v>435</v>
      </c>
    </row>
    <row r="37" spans="2:23" x14ac:dyDescent="0.3">
      <c r="B37" s="34">
        <v>0.26</v>
      </c>
      <c r="D37" s="43">
        <v>13</v>
      </c>
      <c r="F37">
        <v>28</v>
      </c>
      <c r="I37" s="19" t="s">
        <v>326</v>
      </c>
      <c r="J37" s="26">
        <v>120</v>
      </c>
      <c r="K37" s="26">
        <f t="shared" si="0"/>
        <v>120</v>
      </c>
      <c r="L37" s="24"/>
    </row>
    <row r="38" spans="2:23" x14ac:dyDescent="0.3">
      <c r="B38" s="34">
        <v>0.27</v>
      </c>
      <c r="D38" s="43">
        <v>14</v>
      </c>
      <c r="F38">
        <v>30</v>
      </c>
      <c r="I38" s="19" t="s">
        <v>327</v>
      </c>
      <c r="J38" s="26">
        <v>130</v>
      </c>
      <c r="K38" s="26">
        <f t="shared" si="0"/>
        <v>135</v>
      </c>
      <c r="L38" s="24">
        <v>140</v>
      </c>
      <c r="N38">
        <v>4.5</v>
      </c>
    </row>
    <row r="39" spans="2:23" x14ac:dyDescent="0.3">
      <c r="B39" s="34">
        <v>0.28000000000000003</v>
      </c>
      <c r="D39" s="43">
        <v>15</v>
      </c>
      <c r="F39">
        <v>32</v>
      </c>
      <c r="I39" s="19" t="s">
        <v>328</v>
      </c>
      <c r="J39" s="26">
        <v>130</v>
      </c>
      <c r="K39" s="26">
        <f t="shared" si="0"/>
        <v>140</v>
      </c>
      <c r="L39" s="24">
        <v>150</v>
      </c>
      <c r="N39">
        <v>6</v>
      </c>
      <c r="R39" s="19" t="s">
        <v>316</v>
      </c>
      <c r="S39" s="26"/>
      <c r="T39" s="32">
        <v>2700</v>
      </c>
      <c r="U39" s="61">
        <f t="shared" ref="U39:U47" si="1">T39*$N$54</f>
        <v>168.48</v>
      </c>
      <c r="V39" s="32">
        <v>2.484</v>
      </c>
      <c r="W39" s="62">
        <f t="shared" ref="W39:W47" si="2">V39*$N$53</f>
        <v>0.59367599999999998</v>
      </c>
    </row>
    <row r="40" spans="2:23" x14ac:dyDescent="0.3">
      <c r="B40" s="34">
        <v>0.28999999999999998</v>
      </c>
      <c r="D40" s="43">
        <v>16</v>
      </c>
      <c r="I40" s="19" t="s">
        <v>329</v>
      </c>
      <c r="J40" s="26">
        <v>140</v>
      </c>
      <c r="K40" s="26">
        <f t="shared" si="0"/>
        <v>140</v>
      </c>
      <c r="L40" s="24"/>
      <c r="R40" s="19" t="s">
        <v>348</v>
      </c>
      <c r="S40" s="26"/>
      <c r="T40" s="26">
        <v>1969</v>
      </c>
      <c r="U40" s="37">
        <f t="shared" si="1"/>
        <v>122.8656</v>
      </c>
      <c r="V40" s="26">
        <v>1.8129999999999999</v>
      </c>
      <c r="W40" s="63">
        <f t="shared" si="2"/>
        <v>0.43330699999999994</v>
      </c>
    </row>
    <row r="41" spans="2:23" x14ac:dyDescent="0.3">
      <c r="B41" s="34">
        <v>0.3</v>
      </c>
      <c r="D41" s="43">
        <v>17</v>
      </c>
      <c r="I41" s="19" t="s">
        <v>330</v>
      </c>
      <c r="J41" s="26">
        <v>150</v>
      </c>
      <c r="K41" s="26">
        <f t="shared" si="0"/>
        <v>150</v>
      </c>
      <c r="L41" s="24"/>
      <c r="R41" s="19" t="s">
        <v>349</v>
      </c>
      <c r="S41" s="26"/>
      <c r="T41" s="26">
        <v>7200</v>
      </c>
      <c r="U41" s="37">
        <f t="shared" si="1"/>
        <v>449.28</v>
      </c>
      <c r="V41" s="26">
        <v>3.8889999999999998</v>
      </c>
      <c r="W41" s="63">
        <f t="shared" si="2"/>
        <v>0.92947099999999994</v>
      </c>
    </row>
    <row r="42" spans="2:23" x14ac:dyDescent="0.3">
      <c r="B42" s="34">
        <v>0.31</v>
      </c>
      <c r="D42" s="43">
        <v>18</v>
      </c>
      <c r="I42" s="19" t="s">
        <v>331</v>
      </c>
      <c r="J42" s="26">
        <v>140</v>
      </c>
      <c r="K42" s="26">
        <f t="shared" si="0"/>
        <v>140</v>
      </c>
      <c r="L42" s="24"/>
      <c r="R42" s="19" t="s">
        <v>323</v>
      </c>
      <c r="S42" s="26"/>
      <c r="T42" s="26">
        <v>2305</v>
      </c>
      <c r="U42" s="37">
        <f t="shared" si="1"/>
        <v>143.83199999999999</v>
      </c>
      <c r="V42" s="26">
        <v>2.1219999999999999</v>
      </c>
      <c r="W42" s="63">
        <f t="shared" si="2"/>
        <v>0.507158</v>
      </c>
    </row>
    <row r="43" spans="2:23" x14ac:dyDescent="0.3">
      <c r="B43" s="34">
        <v>0.32</v>
      </c>
      <c r="D43" s="43">
        <v>19</v>
      </c>
      <c r="I43" s="19" t="s">
        <v>332</v>
      </c>
      <c r="J43" s="26">
        <v>140</v>
      </c>
      <c r="K43" s="26">
        <f t="shared" si="0"/>
        <v>145</v>
      </c>
      <c r="L43" s="24">
        <v>150</v>
      </c>
      <c r="R43" s="19" t="s">
        <v>434</v>
      </c>
      <c r="S43" s="26"/>
      <c r="T43" s="26">
        <v>1075</v>
      </c>
      <c r="U43" s="37">
        <f t="shared" si="1"/>
        <v>67.08</v>
      </c>
      <c r="V43" s="26">
        <v>3.7410000000000001</v>
      </c>
      <c r="W43" s="63">
        <f t="shared" si="2"/>
        <v>0.89409899999999998</v>
      </c>
    </row>
    <row r="44" spans="2:23" x14ac:dyDescent="0.3">
      <c r="B44" s="34">
        <v>0.33</v>
      </c>
      <c r="D44" s="43">
        <v>20</v>
      </c>
      <c r="I44" s="19" t="s">
        <v>333</v>
      </c>
      <c r="J44" s="26">
        <v>60</v>
      </c>
      <c r="K44" s="26">
        <f t="shared" si="0"/>
        <v>60</v>
      </c>
      <c r="L44" s="24"/>
      <c r="R44" s="19" t="s">
        <v>350</v>
      </c>
      <c r="S44" s="26"/>
      <c r="T44" s="26">
        <v>2300</v>
      </c>
      <c r="U44" s="37">
        <f t="shared" si="1"/>
        <v>143.51999999999998</v>
      </c>
      <c r="V44" s="26">
        <v>2.4</v>
      </c>
      <c r="W44" s="63">
        <f t="shared" si="2"/>
        <v>0.5736</v>
      </c>
    </row>
    <row r="45" spans="2:23" x14ac:dyDescent="0.3">
      <c r="B45" s="34">
        <v>0.34</v>
      </c>
      <c r="D45" s="43">
        <v>21</v>
      </c>
      <c r="I45" s="19" t="s">
        <v>334</v>
      </c>
      <c r="J45" s="26">
        <v>100</v>
      </c>
      <c r="K45" s="26">
        <f t="shared" si="0"/>
        <v>100</v>
      </c>
      <c r="L45" s="24"/>
      <c r="R45" s="19" t="s">
        <v>351</v>
      </c>
      <c r="S45" s="26"/>
      <c r="T45" s="26">
        <v>2400</v>
      </c>
      <c r="U45" s="37">
        <f t="shared" si="1"/>
        <v>149.76</v>
      </c>
      <c r="V45" s="26">
        <v>1.8959999999999999</v>
      </c>
      <c r="W45" s="63">
        <f t="shared" si="2"/>
        <v>0.45314399999999994</v>
      </c>
    </row>
    <row r="46" spans="2:23" x14ac:dyDescent="0.3">
      <c r="B46" s="34">
        <v>0.35</v>
      </c>
      <c r="D46" s="43">
        <v>22</v>
      </c>
      <c r="I46" s="19" t="s">
        <v>335</v>
      </c>
      <c r="J46" s="26">
        <v>110</v>
      </c>
      <c r="K46" s="26">
        <f t="shared" si="0"/>
        <v>110</v>
      </c>
      <c r="L46" s="24"/>
      <c r="R46" s="19" t="s">
        <v>346</v>
      </c>
      <c r="S46" s="26"/>
      <c r="T46" s="26">
        <v>2400</v>
      </c>
      <c r="U46" s="37">
        <f t="shared" si="1"/>
        <v>149.76</v>
      </c>
      <c r="V46" s="26">
        <v>1.8959999999999999</v>
      </c>
      <c r="W46" s="63">
        <f t="shared" si="2"/>
        <v>0.45314399999999994</v>
      </c>
    </row>
    <row r="47" spans="2:23" ht="15" thickBot="1" x14ac:dyDescent="0.35">
      <c r="B47" s="34">
        <v>0.36</v>
      </c>
      <c r="D47" s="43">
        <v>23</v>
      </c>
      <c r="I47" s="19" t="s">
        <v>334</v>
      </c>
      <c r="J47" s="26">
        <v>100</v>
      </c>
      <c r="K47" s="26">
        <f t="shared" si="0"/>
        <v>100</v>
      </c>
      <c r="L47" s="24"/>
      <c r="R47" s="21" t="s">
        <v>345</v>
      </c>
      <c r="S47" s="28"/>
      <c r="T47" s="28">
        <v>1000</v>
      </c>
      <c r="U47" s="35">
        <f t="shared" si="1"/>
        <v>62.4</v>
      </c>
      <c r="V47" s="28">
        <v>4.1900000000000004</v>
      </c>
      <c r="W47" s="64">
        <f t="shared" si="2"/>
        <v>1.0014100000000001</v>
      </c>
    </row>
    <row r="48" spans="2:23" ht="15" thickBot="1" x14ac:dyDescent="0.35">
      <c r="B48" s="34">
        <v>0.37</v>
      </c>
      <c r="D48" s="43">
        <v>24</v>
      </c>
      <c r="I48" s="21" t="s">
        <v>336</v>
      </c>
      <c r="J48" s="28">
        <v>110</v>
      </c>
      <c r="K48" s="28">
        <f t="shared" si="0"/>
        <v>110</v>
      </c>
      <c r="L48" s="25"/>
    </row>
    <row r="49" spans="2:29" x14ac:dyDescent="0.3">
      <c r="B49" s="34">
        <v>0.38</v>
      </c>
      <c r="I49" s="43"/>
      <c r="J49" s="43"/>
    </row>
    <row r="50" spans="2:29" ht="15" thickBot="1" x14ac:dyDescent="0.35">
      <c r="B50" s="34">
        <v>0.39</v>
      </c>
      <c r="I50" s="43"/>
      <c r="J50" s="43"/>
    </row>
    <row r="51" spans="2:29" x14ac:dyDescent="0.3">
      <c r="B51" s="34">
        <v>0.4</v>
      </c>
      <c r="D51" s="1" t="s">
        <v>344</v>
      </c>
      <c r="E51" s="40"/>
      <c r="F51" s="417" t="s">
        <v>347</v>
      </c>
      <c r="G51" s="418"/>
      <c r="H51" s="419" t="s">
        <v>352</v>
      </c>
      <c r="I51" s="420"/>
      <c r="J51" s="43"/>
      <c r="L51" t="s">
        <v>354</v>
      </c>
    </row>
    <row r="52" spans="2:29" ht="16.2" thickBot="1" x14ac:dyDescent="0.4">
      <c r="B52" s="34">
        <v>0.41</v>
      </c>
      <c r="D52" s="11"/>
      <c r="E52" s="3" t="s">
        <v>378</v>
      </c>
      <c r="F52" s="29" t="s">
        <v>88</v>
      </c>
      <c r="G52" s="22" t="s">
        <v>359</v>
      </c>
      <c r="H52" s="22" t="s">
        <v>353</v>
      </c>
      <c r="I52" s="36" t="s">
        <v>357</v>
      </c>
    </row>
    <row r="53" spans="2:29" x14ac:dyDescent="0.3">
      <c r="B53" s="34">
        <v>0.42</v>
      </c>
      <c r="D53" s="19" t="s">
        <v>316</v>
      </c>
      <c r="E53" s="26" t="s">
        <v>78</v>
      </c>
      <c r="F53" s="32">
        <v>2700</v>
      </c>
      <c r="G53" s="61">
        <f>F53*$N$54</f>
        <v>168.48</v>
      </c>
      <c r="H53" s="32">
        <v>2.484</v>
      </c>
      <c r="I53" s="62">
        <f>H53*$N$53</f>
        <v>0.59367599999999998</v>
      </c>
      <c r="L53" t="s">
        <v>355</v>
      </c>
      <c r="M53" t="s">
        <v>260</v>
      </c>
      <c r="N53">
        <v>0.23899999999999999</v>
      </c>
      <c r="O53" t="s">
        <v>356</v>
      </c>
    </row>
    <row r="54" spans="2:29" x14ac:dyDescent="0.3">
      <c r="B54" s="34">
        <v>0.43</v>
      </c>
      <c r="D54" s="19" t="s">
        <v>348</v>
      </c>
      <c r="E54" s="26" t="s">
        <v>78</v>
      </c>
      <c r="F54" s="26">
        <v>1969</v>
      </c>
      <c r="G54" s="37">
        <f t="shared" ref="G54:G56" si="3">F54*$N$54</f>
        <v>122.8656</v>
      </c>
      <c r="H54" s="26">
        <v>1.8129999999999999</v>
      </c>
      <c r="I54" s="63">
        <f t="shared" ref="I54:I56" si="4">H54*$N$53</f>
        <v>0.43330699999999994</v>
      </c>
      <c r="L54" t="s">
        <v>358</v>
      </c>
      <c r="M54" t="s">
        <v>260</v>
      </c>
      <c r="N54">
        <v>6.2399999999999997E-2</v>
      </c>
      <c r="O54" t="s">
        <v>359</v>
      </c>
    </row>
    <row r="55" spans="2:29" x14ac:dyDescent="0.3">
      <c r="B55" s="34">
        <v>0.44</v>
      </c>
      <c r="D55" s="19" t="s">
        <v>349</v>
      </c>
      <c r="E55" s="26" t="s">
        <v>78</v>
      </c>
      <c r="F55" s="26">
        <v>7200</v>
      </c>
      <c r="G55" s="37">
        <f t="shared" si="3"/>
        <v>449.28</v>
      </c>
      <c r="H55" s="26">
        <v>3.8889999999999998</v>
      </c>
      <c r="I55" s="63">
        <f t="shared" si="4"/>
        <v>0.92947099999999994</v>
      </c>
      <c r="L55" t="s">
        <v>373</v>
      </c>
      <c r="M55" t="s">
        <v>260</v>
      </c>
      <c r="N55">
        <v>8.35</v>
      </c>
      <c r="O55" t="s">
        <v>257</v>
      </c>
    </row>
    <row r="56" spans="2:29" x14ac:dyDescent="0.3">
      <c r="B56" s="34">
        <v>0.45</v>
      </c>
      <c r="D56" s="19" t="s">
        <v>323</v>
      </c>
      <c r="E56" s="26" t="s">
        <v>78</v>
      </c>
      <c r="F56" s="26">
        <v>2305</v>
      </c>
      <c r="G56" s="37">
        <f t="shared" si="3"/>
        <v>143.83199999999999</v>
      </c>
      <c r="H56" s="26">
        <v>2.1219999999999999</v>
      </c>
      <c r="I56" s="63">
        <f t="shared" si="4"/>
        <v>0.507158</v>
      </c>
      <c r="L56" t="s">
        <v>256</v>
      </c>
      <c r="M56" t="s">
        <v>260</v>
      </c>
      <c r="N56">
        <v>2000</v>
      </c>
      <c r="O56" t="s">
        <v>257</v>
      </c>
    </row>
    <row r="57" spans="2:29" x14ac:dyDescent="0.3">
      <c r="B57" s="34">
        <v>0.46</v>
      </c>
      <c r="D57" s="19" t="s">
        <v>434</v>
      </c>
      <c r="E57" s="26" t="s">
        <v>436</v>
      </c>
      <c r="F57" s="26">
        <v>1075</v>
      </c>
      <c r="G57" s="37">
        <f>F57*$N$54</f>
        <v>67.08</v>
      </c>
      <c r="H57" s="26">
        <v>3.7410000000000001</v>
      </c>
      <c r="I57" s="63">
        <f>H57*$N$53</f>
        <v>0.89409899999999998</v>
      </c>
    </row>
    <row r="58" spans="2:29" x14ac:dyDescent="0.3">
      <c r="B58" s="34">
        <v>0.47</v>
      </c>
      <c r="D58" s="19" t="s">
        <v>350</v>
      </c>
      <c r="E58" s="26" t="s">
        <v>78</v>
      </c>
      <c r="F58" s="26">
        <v>2300</v>
      </c>
      <c r="G58" s="37">
        <f>F58*$N$54</f>
        <v>143.51999999999998</v>
      </c>
      <c r="H58" s="26">
        <v>2.4</v>
      </c>
      <c r="I58" s="63">
        <f>H58*$N$53</f>
        <v>0.5736</v>
      </c>
    </row>
    <row r="59" spans="2:29" x14ac:dyDescent="0.3">
      <c r="B59" s="34">
        <v>0.48</v>
      </c>
      <c r="D59" s="19" t="s">
        <v>351</v>
      </c>
      <c r="E59" s="26" t="s">
        <v>78</v>
      </c>
      <c r="F59" s="26">
        <v>2400</v>
      </c>
      <c r="G59" s="37">
        <f>F59*$N$54</f>
        <v>149.76</v>
      </c>
      <c r="H59" s="26">
        <v>1.8959999999999999</v>
      </c>
      <c r="I59" s="63">
        <f>H59*$N$53</f>
        <v>0.45314399999999994</v>
      </c>
    </row>
    <row r="60" spans="2:29" x14ac:dyDescent="0.3">
      <c r="B60" s="34">
        <v>0.49</v>
      </c>
      <c r="D60" s="19" t="s">
        <v>346</v>
      </c>
      <c r="E60" s="26" t="s">
        <v>78</v>
      </c>
      <c r="F60" s="26">
        <v>2400</v>
      </c>
      <c r="G60" s="37">
        <f>F60*$N$54</f>
        <v>149.76</v>
      </c>
      <c r="H60" s="26">
        <v>1.8959999999999999</v>
      </c>
      <c r="I60" s="63">
        <f>H60*$N$53</f>
        <v>0.45314399999999994</v>
      </c>
    </row>
    <row r="61" spans="2:29" ht="15" thickBot="1" x14ac:dyDescent="0.35">
      <c r="B61" s="34">
        <v>0.5</v>
      </c>
      <c r="D61" s="21" t="s">
        <v>345</v>
      </c>
      <c r="E61" s="28" t="s">
        <v>436</v>
      </c>
      <c r="F61" s="28">
        <v>1000</v>
      </c>
      <c r="G61" s="35">
        <f>F61*$N$54</f>
        <v>62.4</v>
      </c>
      <c r="H61" s="28">
        <v>4.1900000000000004</v>
      </c>
      <c r="I61" s="64">
        <f>H61*$N$53</f>
        <v>1.0014100000000001</v>
      </c>
    </row>
    <row r="62" spans="2:29" x14ac:dyDescent="0.3">
      <c r="B62" s="34">
        <v>0.51</v>
      </c>
    </row>
    <row r="63" spans="2:29" x14ac:dyDescent="0.3">
      <c r="B63" s="34">
        <v>0.52</v>
      </c>
      <c r="E63" s="406" t="s">
        <v>361</v>
      </c>
      <c r="F63" s="406"/>
      <c r="G63" s="406" t="s">
        <v>368</v>
      </c>
      <c r="H63" s="406"/>
      <c r="I63" s="406" t="s">
        <v>376</v>
      </c>
      <c r="J63" s="406"/>
      <c r="K63" t="s">
        <v>370</v>
      </c>
      <c r="Q63" t="s">
        <v>378</v>
      </c>
      <c r="R63" t="s">
        <v>368</v>
      </c>
      <c r="S63" t="s">
        <v>370</v>
      </c>
      <c r="U63"/>
      <c r="V63" s="43"/>
      <c r="W63"/>
      <c r="AC63" s="43"/>
    </row>
    <row r="64" spans="2:29" x14ac:dyDescent="0.3">
      <c r="B64" s="34">
        <v>0.53</v>
      </c>
      <c r="D64" s="10" t="s">
        <v>360</v>
      </c>
      <c r="E64" t="s">
        <v>363</v>
      </c>
      <c r="F64" t="s">
        <v>362</v>
      </c>
      <c r="G64" s="43" t="s">
        <v>371</v>
      </c>
      <c r="H64" s="43" t="s">
        <v>372</v>
      </c>
      <c r="I64" t="s">
        <v>375</v>
      </c>
      <c r="J64" t="s">
        <v>377</v>
      </c>
      <c r="K64" t="s">
        <v>374</v>
      </c>
      <c r="L64" t="s">
        <v>369</v>
      </c>
      <c r="Q64" t="s">
        <v>78</v>
      </c>
      <c r="R64" t="s">
        <v>257</v>
      </c>
      <c r="S64" t="s">
        <v>433</v>
      </c>
      <c r="U64"/>
      <c r="V64" s="43"/>
      <c r="W64"/>
      <c r="AC64" s="43"/>
    </row>
    <row r="65" spans="2:30" x14ac:dyDescent="0.3">
      <c r="B65" s="34">
        <v>0.54</v>
      </c>
      <c r="D65" t="s">
        <v>364</v>
      </c>
      <c r="E65">
        <f>F65*3.8</f>
        <v>11.399999999999999</v>
      </c>
      <c r="F65">
        <f>3</f>
        <v>3</v>
      </c>
      <c r="G65" s="43">
        <f>E65</f>
        <v>11.399999999999999</v>
      </c>
      <c r="H65" s="9">
        <f>F65*N55</f>
        <v>25.049999999999997</v>
      </c>
      <c r="I65" s="9">
        <f>E65*$H$61</f>
        <v>47.765999999999998</v>
      </c>
      <c r="J65" s="9">
        <f>I65*$N$53</f>
        <v>11.416073999999998</v>
      </c>
      <c r="K65">
        <f>I65*E65</f>
        <v>544.53239999999994</v>
      </c>
      <c r="L65">
        <f>J65*H65</f>
        <v>285.97265369999991</v>
      </c>
      <c r="O65" t="s">
        <v>366</v>
      </c>
      <c r="P65" t="s">
        <v>431</v>
      </c>
      <c r="Q65" s="9">
        <f>5.5*(4/12)</f>
        <v>1.8333333333333333</v>
      </c>
      <c r="R65" s="9">
        <f>Q65*G56</f>
        <v>263.69199999999995</v>
      </c>
      <c r="S65" s="9">
        <f>R65*I56</f>
        <v>133.73350733599997</v>
      </c>
      <c r="T65" s="9" t="s">
        <v>379</v>
      </c>
      <c r="U65">
        <f>S65/5.5</f>
        <v>24.315183151999996</v>
      </c>
      <c r="V65" s="43"/>
      <c r="W65"/>
      <c r="AC65" s="43"/>
    </row>
    <row r="66" spans="2:30" x14ac:dyDescent="0.3">
      <c r="B66" s="34">
        <v>0.55000000000000004</v>
      </c>
      <c r="D66" t="s">
        <v>365</v>
      </c>
      <c r="E66">
        <f>F66*3.8</f>
        <v>9.5</v>
      </c>
      <c r="F66">
        <v>2.5</v>
      </c>
      <c r="G66" s="43">
        <f>E66</f>
        <v>9.5</v>
      </c>
      <c r="H66" s="9">
        <f>F66*N55</f>
        <v>20.875</v>
      </c>
      <c r="I66" s="9">
        <f>E66*$H$61</f>
        <v>39.805000000000007</v>
      </c>
      <c r="J66" s="9">
        <f>I66*$N$53</f>
        <v>9.5133950000000009</v>
      </c>
      <c r="O66" t="s">
        <v>367</v>
      </c>
      <c r="P66" t="s">
        <v>432</v>
      </c>
      <c r="Q66" s="9">
        <f>8*(4/12)</f>
        <v>2.6666666666666665</v>
      </c>
      <c r="R66" s="9">
        <f>Q66*G56</f>
        <v>383.55199999999996</v>
      </c>
      <c r="S66" s="9">
        <f>R66*I56</f>
        <v>194.52146521599997</v>
      </c>
      <c r="T66" s="9" t="s">
        <v>380</v>
      </c>
      <c r="U66">
        <f>S66/8</f>
        <v>24.315183151999996</v>
      </c>
      <c r="V66" s="43"/>
      <c r="W66"/>
      <c r="AC66" s="43"/>
    </row>
    <row r="67" spans="2:30" x14ac:dyDescent="0.3">
      <c r="B67" s="34">
        <v>0.56000000000000005</v>
      </c>
      <c r="D67" t="s">
        <v>27</v>
      </c>
      <c r="E67">
        <f>F67*3.8</f>
        <v>5.6999999999999993</v>
      </c>
      <c r="F67">
        <v>1.5</v>
      </c>
      <c r="G67" s="43">
        <f>E67</f>
        <v>5.6999999999999993</v>
      </c>
      <c r="H67" s="9">
        <f>F67*N55</f>
        <v>12.524999999999999</v>
      </c>
      <c r="I67" s="9">
        <f>E67*$H$61</f>
        <v>23.882999999999999</v>
      </c>
      <c r="J67" s="9">
        <f>I67*$N$53</f>
        <v>5.7080369999999991</v>
      </c>
      <c r="U67"/>
      <c r="X67"/>
      <c r="AC67" s="43"/>
      <c r="AD67" s="43"/>
    </row>
    <row r="68" spans="2:30" x14ac:dyDescent="0.3">
      <c r="B68" s="34">
        <v>0.56999999999999995</v>
      </c>
    </row>
    <row r="69" spans="2:30" x14ac:dyDescent="0.3">
      <c r="B69" s="34">
        <v>0.57999999999999996</v>
      </c>
    </row>
    <row r="70" spans="2:30" ht="15" thickBot="1" x14ac:dyDescent="0.35">
      <c r="B70" s="34">
        <v>0.59</v>
      </c>
    </row>
    <row r="71" spans="2:30" ht="32.25" customHeight="1" thickBot="1" x14ac:dyDescent="0.35">
      <c r="B71" s="34">
        <v>0.6</v>
      </c>
      <c r="D71" s="8" t="s">
        <v>381</v>
      </c>
      <c r="G71" s="42"/>
      <c r="H71" s="42"/>
      <c r="K71" s="390" t="s">
        <v>441</v>
      </c>
      <c r="L71" s="397"/>
      <c r="M71" s="397"/>
      <c r="N71" s="397" t="s">
        <v>442</v>
      </c>
      <c r="O71" s="391"/>
    </row>
    <row r="72" spans="2:30" x14ac:dyDescent="0.3">
      <c r="B72" s="34">
        <v>0.61</v>
      </c>
      <c r="D72" s="1"/>
      <c r="E72" s="2"/>
      <c r="K72" s="403" t="s">
        <v>440</v>
      </c>
      <c r="L72" s="395" t="s">
        <v>437</v>
      </c>
      <c r="M72" s="395"/>
      <c r="N72" s="395" t="s">
        <v>437</v>
      </c>
      <c r="O72" s="396"/>
    </row>
    <row r="73" spans="2:30" ht="15" customHeight="1" thickBot="1" x14ac:dyDescent="0.35">
      <c r="B73" s="34">
        <v>0.62</v>
      </c>
      <c r="D73" s="11" t="s">
        <v>384</v>
      </c>
      <c r="E73" s="14">
        <f>'2.Energy Consumption'!I91</f>
        <v>22099.200000000001</v>
      </c>
      <c r="F73" t="s">
        <v>95</v>
      </c>
      <c r="K73" s="401"/>
      <c r="L73" s="71" t="s">
        <v>337</v>
      </c>
      <c r="M73" s="71" t="s">
        <v>339</v>
      </c>
      <c r="N73" s="71" t="s">
        <v>451</v>
      </c>
      <c r="O73" s="72" t="s">
        <v>450</v>
      </c>
    </row>
    <row r="74" spans="2:30" ht="15" thickBot="1" x14ac:dyDescent="0.35">
      <c r="B74" s="34">
        <v>0.63</v>
      </c>
      <c r="D74" s="11" t="s">
        <v>382</v>
      </c>
      <c r="E74" s="4"/>
      <c r="I74" t="s">
        <v>443</v>
      </c>
      <c r="K74" s="402"/>
      <c r="L74" s="75"/>
      <c r="M74" s="75"/>
      <c r="N74" s="75"/>
      <c r="O74" s="76"/>
    </row>
    <row r="75" spans="2:30" x14ac:dyDescent="0.3">
      <c r="B75" s="34">
        <v>0.64</v>
      </c>
      <c r="D75" s="11" t="s">
        <v>383</v>
      </c>
      <c r="E75" s="4"/>
      <c r="K75" s="74">
        <v>4.5</v>
      </c>
      <c r="L75" s="75">
        <v>20</v>
      </c>
      <c r="M75" s="75">
        <v>50</v>
      </c>
      <c r="N75" s="75">
        <v>50</v>
      </c>
      <c r="O75" s="4">
        <v>90</v>
      </c>
    </row>
    <row r="76" spans="2:30" ht="15" thickBot="1" x14ac:dyDescent="0.35">
      <c r="B76" s="34">
        <v>0.65</v>
      </c>
      <c r="D76" s="5" t="s">
        <v>385</v>
      </c>
      <c r="E76" s="6"/>
      <c r="I76" t="s">
        <v>439</v>
      </c>
      <c r="K76" s="74">
        <v>6</v>
      </c>
      <c r="L76" s="75">
        <v>75</v>
      </c>
      <c r="M76" s="75">
        <v>110</v>
      </c>
      <c r="N76" s="75">
        <v>110</v>
      </c>
      <c r="O76" s="4">
        <v>200</v>
      </c>
    </row>
    <row r="77" spans="2:30" x14ac:dyDescent="0.3">
      <c r="B77" s="34">
        <v>0.66</v>
      </c>
      <c r="I77" t="s">
        <v>438</v>
      </c>
      <c r="K77" s="74">
        <v>8</v>
      </c>
      <c r="L77" s="75">
        <v>160</v>
      </c>
      <c r="M77" s="75">
        <v>240</v>
      </c>
      <c r="N77" s="75">
        <v>240</v>
      </c>
      <c r="O77" s="4">
        <v>420</v>
      </c>
    </row>
    <row r="78" spans="2:30" x14ac:dyDescent="0.3">
      <c r="B78" s="34">
        <v>0.67</v>
      </c>
      <c r="K78" s="74">
        <v>10</v>
      </c>
      <c r="L78" s="75">
        <v>290</v>
      </c>
      <c r="M78" s="75">
        <v>400</v>
      </c>
      <c r="N78" s="75">
        <v>400</v>
      </c>
      <c r="O78" s="4">
        <v>800</v>
      </c>
    </row>
    <row r="79" spans="2:30" ht="15" thickBot="1" x14ac:dyDescent="0.35">
      <c r="B79" s="34">
        <v>0.68</v>
      </c>
      <c r="I79" s="67">
        <v>4.5</v>
      </c>
      <c r="K79" s="70">
        <v>12</v>
      </c>
      <c r="L79" s="71">
        <v>490</v>
      </c>
      <c r="M79" s="71">
        <v>650</v>
      </c>
      <c r="N79" s="71">
        <v>650</v>
      </c>
      <c r="O79" s="6">
        <v>1000</v>
      </c>
    </row>
    <row r="80" spans="2:30" x14ac:dyDescent="0.3">
      <c r="B80" s="34">
        <v>0.69</v>
      </c>
      <c r="G80" t="s">
        <v>5</v>
      </c>
      <c r="H80" t="s">
        <v>452</v>
      </c>
      <c r="I80" s="67">
        <v>6</v>
      </c>
    </row>
    <row r="81" spans="2:15" x14ac:dyDescent="0.3">
      <c r="B81" s="34">
        <v>0.7</v>
      </c>
      <c r="G81" t="s">
        <v>7</v>
      </c>
      <c r="H81">
        <v>31</v>
      </c>
      <c r="I81" s="67">
        <v>8</v>
      </c>
    </row>
    <row r="82" spans="2:15" ht="15" thickBot="1" x14ac:dyDescent="0.35">
      <c r="B82" s="34">
        <v>0.71</v>
      </c>
      <c r="G82" t="s">
        <v>8</v>
      </c>
      <c r="H82">
        <v>28</v>
      </c>
      <c r="I82" s="67">
        <v>10</v>
      </c>
      <c r="K82" s="406"/>
      <c r="L82" s="406"/>
      <c r="M82" s="406"/>
      <c r="N82" s="98"/>
      <c r="O82" s="98"/>
    </row>
    <row r="83" spans="2:15" ht="15" customHeight="1" x14ac:dyDescent="0.3">
      <c r="B83" s="34">
        <v>0.72</v>
      </c>
      <c r="G83" t="s">
        <v>0</v>
      </c>
      <c r="H83">
        <v>31</v>
      </c>
      <c r="I83" s="67">
        <v>12</v>
      </c>
      <c r="L83" s="398" t="s">
        <v>446</v>
      </c>
      <c r="M83" s="399"/>
      <c r="N83" s="400"/>
      <c r="O83" s="98"/>
    </row>
    <row r="84" spans="2:15" x14ac:dyDescent="0.3">
      <c r="B84" s="34">
        <v>0.73</v>
      </c>
      <c r="G84" t="s">
        <v>1</v>
      </c>
      <c r="H84">
        <v>30</v>
      </c>
      <c r="L84" s="405" t="s">
        <v>281</v>
      </c>
      <c r="M84" s="396"/>
      <c r="N84" s="401" t="s">
        <v>447</v>
      </c>
    </row>
    <row r="85" spans="2:15" ht="15" thickBot="1" x14ac:dyDescent="0.35">
      <c r="B85" s="34">
        <v>0.74</v>
      </c>
      <c r="G85" t="s">
        <v>2</v>
      </c>
      <c r="H85">
        <v>31</v>
      </c>
      <c r="L85" s="70" t="s">
        <v>448</v>
      </c>
      <c r="M85" s="72" t="s">
        <v>449</v>
      </c>
      <c r="N85" s="402"/>
      <c r="O85" s="43"/>
    </row>
    <row r="86" spans="2:15" x14ac:dyDescent="0.3">
      <c r="B86" s="34">
        <v>0.75</v>
      </c>
      <c r="G86" t="s">
        <v>3</v>
      </c>
      <c r="H86">
        <v>30</v>
      </c>
      <c r="L86" s="73">
        <v>75</v>
      </c>
      <c r="M86" s="68">
        <v>134</v>
      </c>
      <c r="N86" s="100">
        <v>6</v>
      </c>
      <c r="O86" s="43"/>
    </row>
    <row r="87" spans="2:15" x14ac:dyDescent="0.3">
      <c r="B87" s="34">
        <v>0.76</v>
      </c>
      <c r="G87" t="s">
        <v>4</v>
      </c>
      <c r="H87">
        <v>31</v>
      </c>
      <c r="I87" t="s">
        <v>444</v>
      </c>
      <c r="L87" s="74">
        <v>135</v>
      </c>
      <c r="M87" s="76">
        <v>264</v>
      </c>
      <c r="N87" s="100">
        <v>8</v>
      </c>
      <c r="O87" s="43"/>
    </row>
    <row r="88" spans="2:15" x14ac:dyDescent="0.3">
      <c r="B88" s="34">
        <v>0.77</v>
      </c>
      <c r="G88" t="s">
        <v>9</v>
      </c>
      <c r="H88">
        <v>31</v>
      </c>
      <c r="I88" t="s">
        <v>280</v>
      </c>
      <c r="L88" s="74">
        <v>265</v>
      </c>
      <c r="M88" s="76">
        <v>444</v>
      </c>
      <c r="N88" s="100">
        <v>10</v>
      </c>
      <c r="O88" s="43"/>
    </row>
    <row r="89" spans="2:15" x14ac:dyDescent="0.3">
      <c r="B89" s="34">
        <v>0.78</v>
      </c>
      <c r="G89" t="s">
        <v>10</v>
      </c>
      <c r="H89">
        <v>30</v>
      </c>
      <c r="I89">
        <v>1</v>
      </c>
      <c r="L89" s="74">
        <v>445</v>
      </c>
      <c r="M89" s="76">
        <v>724</v>
      </c>
      <c r="N89" s="100">
        <v>12</v>
      </c>
      <c r="O89" s="43"/>
    </row>
    <row r="90" spans="2:15" x14ac:dyDescent="0.3">
      <c r="B90" s="34">
        <v>0.79</v>
      </c>
      <c r="G90" t="s">
        <v>92</v>
      </c>
      <c r="H90">
        <v>31</v>
      </c>
      <c r="I90">
        <v>2</v>
      </c>
      <c r="L90" s="99">
        <v>725</v>
      </c>
      <c r="M90" s="76">
        <v>999</v>
      </c>
      <c r="N90" s="100">
        <v>14</v>
      </c>
      <c r="O90" s="43"/>
    </row>
    <row r="91" spans="2:15" x14ac:dyDescent="0.3">
      <c r="B91" s="34">
        <v>0.8</v>
      </c>
      <c r="G91" t="s">
        <v>11</v>
      </c>
      <c r="H91">
        <v>30</v>
      </c>
      <c r="I91">
        <v>3</v>
      </c>
      <c r="L91" s="99">
        <v>1000</v>
      </c>
      <c r="M91" s="76">
        <v>1489</v>
      </c>
      <c r="N91" s="101">
        <v>16</v>
      </c>
    </row>
    <row r="92" spans="2:15" x14ac:dyDescent="0.3">
      <c r="B92" s="34">
        <v>0.81</v>
      </c>
      <c r="G92" t="s">
        <v>12</v>
      </c>
      <c r="H92">
        <v>31</v>
      </c>
      <c r="I92">
        <v>4</v>
      </c>
      <c r="L92" s="99">
        <v>1490</v>
      </c>
      <c r="M92" s="76">
        <v>1949</v>
      </c>
      <c r="N92" s="100">
        <v>18</v>
      </c>
    </row>
    <row r="93" spans="2:15" x14ac:dyDescent="0.3">
      <c r="B93" s="34">
        <v>0.82</v>
      </c>
      <c r="L93" s="99">
        <v>1950</v>
      </c>
      <c r="M93" s="76">
        <v>2799</v>
      </c>
      <c r="N93" s="100">
        <v>20</v>
      </c>
    </row>
    <row r="94" spans="2:15" x14ac:dyDescent="0.3">
      <c r="B94" s="34">
        <v>0.83</v>
      </c>
      <c r="H94">
        <f>SUM(H81:H92)</f>
        <v>365</v>
      </c>
      <c r="L94" s="99">
        <v>2800</v>
      </c>
      <c r="M94" s="76">
        <v>3949</v>
      </c>
      <c r="N94" s="100">
        <v>24</v>
      </c>
    </row>
    <row r="95" spans="2:15" ht="15" thickBot="1" x14ac:dyDescent="0.35">
      <c r="B95" s="34">
        <v>0.84</v>
      </c>
      <c r="L95" s="70">
        <v>3950</v>
      </c>
      <c r="M95" s="72">
        <v>5200</v>
      </c>
      <c r="N95" s="102">
        <v>26</v>
      </c>
    </row>
    <row r="96" spans="2:15" x14ac:dyDescent="0.3">
      <c r="B96" s="34">
        <v>0.85</v>
      </c>
    </row>
    <row r="97" spans="2:2" x14ac:dyDescent="0.3">
      <c r="B97" s="34">
        <v>0.86</v>
      </c>
    </row>
    <row r="98" spans="2:2" x14ac:dyDescent="0.3">
      <c r="B98" s="34">
        <v>0.87</v>
      </c>
    </row>
    <row r="99" spans="2:2" x14ac:dyDescent="0.3">
      <c r="B99" s="34">
        <v>0.88</v>
      </c>
    </row>
    <row r="100" spans="2:2" x14ac:dyDescent="0.3">
      <c r="B100" s="34">
        <v>0.89</v>
      </c>
    </row>
    <row r="101" spans="2:2" x14ac:dyDescent="0.3">
      <c r="B101" s="34">
        <v>0.9</v>
      </c>
    </row>
    <row r="102" spans="2:2" x14ac:dyDescent="0.3">
      <c r="B102" s="34">
        <v>0.91</v>
      </c>
    </row>
    <row r="103" spans="2:2" x14ac:dyDescent="0.3">
      <c r="B103" s="34">
        <v>0.92</v>
      </c>
    </row>
    <row r="104" spans="2:2" x14ac:dyDescent="0.3">
      <c r="B104" s="34">
        <v>0.93</v>
      </c>
    </row>
    <row r="105" spans="2:2" x14ac:dyDescent="0.3">
      <c r="B105" s="34">
        <v>0.94</v>
      </c>
    </row>
    <row r="106" spans="2:2" x14ac:dyDescent="0.3">
      <c r="B106" s="34">
        <v>0.95</v>
      </c>
    </row>
    <row r="107" spans="2:2" x14ac:dyDescent="0.3">
      <c r="B107" s="34">
        <v>0.96</v>
      </c>
    </row>
    <row r="108" spans="2:2" x14ac:dyDescent="0.3">
      <c r="B108" s="34">
        <v>0.97</v>
      </c>
    </row>
    <row r="109" spans="2:2" x14ac:dyDescent="0.3">
      <c r="B109" s="34">
        <v>0.98</v>
      </c>
    </row>
    <row r="110" spans="2:2" x14ac:dyDescent="0.3">
      <c r="B110" s="34">
        <v>0.99</v>
      </c>
    </row>
    <row r="111" spans="2:2" x14ac:dyDescent="0.3">
      <c r="B111" s="34">
        <v>1</v>
      </c>
    </row>
  </sheetData>
  <sheetProtection password="F31D" sheet="1" objects="1" scenarios="1" formatCells="0" selectLockedCells="1" sort="0" autoFilter="0"/>
  <mergeCells count="26">
    <mergeCell ref="E63:F63"/>
    <mergeCell ref="I63:J63"/>
    <mergeCell ref="G63:H63"/>
    <mergeCell ref="E13:E14"/>
    <mergeCell ref="Z4:Z5"/>
    <mergeCell ref="J22:L23"/>
    <mergeCell ref="I22:I24"/>
    <mergeCell ref="F51:G51"/>
    <mergeCell ref="H51:I51"/>
    <mergeCell ref="F13:F14"/>
    <mergeCell ref="E4:F4"/>
    <mergeCell ref="H5:M5"/>
    <mergeCell ref="H6:M6"/>
    <mergeCell ref="H7:M7"/>
    <mergeCell ref="H8:M8"/>
    <mergeCell ref="H9:M9"/>
    <mergeCell ref="H4:M4"/>
    <mergeCell ref="L84:M84"/>
    <mergeCell ref="L72:M72"/>
    <mergeCell ref="K71:M71"/>
    <mergeCell ref="K82:M82"/>
    <mergeCell ref="N72:O72"/>
    <mergeCell ref="N71:O71"/>
    <mergeCell ref="L83:N83"/>
    <mergeCell ref="N84:N85"/>
    <mergeCell ref="K72:K7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sheetPr>
  <dimension ref="A1:M77"/>
  <sheetViews>
    <sheetView workbookViewId="0">
      <selection activeCell="K2" sqref="K2:K501"/>
    </sheetView>
  </sheetViews>
  <sheetFormatPr defaultColWidth="17.6640625" defaultRowHeight="14.4" x14ac:dyDescent="0.3"/>
  <cols>
    <col min="1" max="1" width="25.5546875" style="33" bestFit="1" customWidth="1"/>
    <col min="2" max="2" width="22.5546875" style="33" bestFit="1" customWidth="1"/>
    <col min="3" max="3" width="12.21875" style="33" bestFit="1" customWidth="1"/>
    <col min="4" max="4" width="11.109375" style="33" bestFit="1" customWidth="1"/>
    <col min="5" max="5" width="9.88671875" style="33" bestFit="1" customWidth="1"/>
    <col min="6" max="6" width="10.33203125" style="33" bestFit="1" customWidth="1"/>
    <col min="7" max="7" width="11.5546875" style="33" bestFit="1" customWidth="1"/>
    <col min="8" max="8" width="9.88671875" style="33" bestFit="1" customWidth="1"/>
    <col min="9" max="9" width="11.5546875" style="33" bestFit="1" customWidth="1"/>
    <col min="10" max="10" width="17.6640625" style="33"/>
    <col min="11" max="11" width="7.5546875" style="33" bestFit="1" customWidth="1"/>
    <col min="12" max="12" width="10.5546875" style="33" bestFit="1" customWidth="1"/>
    <col min="13" max="13" width="4.44140625" style="33" bestFit="1" customWidth="1"/>
    <col min="14" max="16384" width="17.6640625" style="33"/>
  </cols>
  <sheetData>
    <row r="1" spans="1:13" x14ac:dyDescent="0.3">
      <c r="A1" s="140" t="s">
        <v>243</v>
      </c>
      <c r="B1" s="140" t="s">
        <v>244</v>
      </c>
      <c r="C1" s="140" t="s">
        <v>245</v>
      </c>
      <c r="D1" s="140" t="s">
        <v>246</v>
      </c>
      <c r="E1" s="140" t="s">
        <v>255</v>
      </c>
      <c r="F1" s="140" t="s">
        <v>249</v>
      </c>
      <c r="G1" s="140" t="s">
        <v>258</v>
      </c>
      <c r="H1" s="140" t="s">
        <v>275</v>
      </c>
      <c r="I1" s="140" t="s">
        <v>277</v>
      </c>
      <c r="K1" s="33" t="s">
        <v>256</v>
      </c>
      <c r="L1" s="33">
        <v>2000</v>
      </c>
      <c r="M1" s="33" t="s">
        <v>257</v>
      </c>
    </row>
    <row r="2" spans="1:13" x14ac:dyDescent="0.3">
      <c r="A2" s="33" t="s">
        <v>97</v>
      </c>
      <c r="B2" s="33" t="s">
        <v>98</v>
      </c>
      <c r="C2" s="33">
        <v>4845</v>
      </c>
      <c r="D2" s="33">
        <v>30</v>
      </c>
      <c r="E2" s="33">
        <f>C2/$L$1</f>
        <v>2.4224999999999999</v>
      </c>
      <c r="F2" s="33">
        <f>D2/E2</f>
        <v>12.383900928792571</v>
      </c>
      <c r="G2" s="33">
        <f>F2*$L$2</f>
        <v>12383900.92879257</v>
      </c>
      <c r="H2" s="33">
        <f>1/E2</f>
        <v>0.41279669762641902</v>
      </c>
      <c r="I2" s="33">
        <f>D2*$L$2</f>
        <v>30000000</v>
      </c>
      <c r="K2" s="33" t="s">
        <v>259</v>
      </c>
      <c r="L2" s="33">
        <v>1000000</v>
      </c>
      <c r="M2" s="33" t="s">
        <v>77</v>
      </c>
    </row>
    <row r="3" spans="1:13" x14ac:dyDescent="0.3">
      <c r="A3" s="33" t="s">
        <v>99</v>
      </c>
      <c r="B3" s="33" t="s">
        <v>100</v>
      </c>
      <c r="C3" s="33">
        <v>4250</v>
      </c>
      <c r="D3" s="33">
        <v>26.4</v>
      </c>
      <c r="E3" s="33">
        <f t="shared" ref="E3:E66" si="0">C3/$L$1</f>
        <v>2.125</v>
      </c>
      <c r="F3" s="33">
        <f>D3/E3</f>
        <v>12.423529411764704</v>
      </c>
      <c r="G3" s="33">
        <f t="shared" ref="G3:G66" si="1">F3*$L$2</f>
        <v>12423529.411764704</v>
      </c>
      <c r="H3" s="33">
        <f t="shared" ref="H3:H66" si="2">1/E3</f>
        <v>0.47058823529411764</v>
      </c>
      <c r="I3" s="33">
        <f t="shared" ref="I3:I66" si="3">D3*$L$2</f>
        <v>26400000</v>
      </c>
    </row>
    <row r="4" spans="1:13" x14ac:dyDescent="0.3">
      <c r="A4" s="33" t="s">
        <v>101</v>
      </c>
      <c r="B4" s="33" t="s">
        <v>102</v>
      </c>
      <c r="C4" s="33">
        <v>4165</v>
      </c>
      <c r="D4" s="33">
        <v>25.8</v>
      </c>
      <c r="E4" s="33">
        <f t="shared" si="0"/>
        <v>2.0825</v>
      </c>
      <c r="F4" s="33">
        <f>D4/E4</f>
        <v>12.388955582232894</v>
      </c>
      <c r="G4" s="33">
        <f t="shared" si="1"/>
        <v>12388955.582232894</v>
      </c>
      <c r="H4" s="33">
        <f t="shared" si="2"/>
        <v>0.48019207683073228</v>
      </c>
      <c r="I4" s="33">
        <f t="shared" si="3"/>
        <v>25800000</v>
      </c>
    </row>
    <row r="5" spans="1:13" x14ac:dyDescent="0.3">
      <c r="A5" s="33" t="s">
        <v>103</v>
      </c>
      <c r="B5" s="33" t="s">
        <v>104</v>
      </c>
      <c r="C5" s="33">
        <v>4080</v>
      </c>
      <c r="D5" s="33">
        <v>25.3</v>
      </c>
      <c r="E5" s="33">
        <f t="shared" si="0"/>
        <v>2.04</v>
      </c>
      <c r="F5" s="33">
        <f t="shared" ref="F5:F66" si="4">D5/E5</f>
        <v>12.401960784313726</v>
      </c>
      <c r="G5" s="33">
        <f t="shared" si="1"/>
        <v>12401960.784313725</v>
      </c>
      <c r="H5" s="33">
        <f t="shared" si="2"/>
        <v>0.49019607843137253</v>
      </c>
      <c r="I5" s="33">
        <f t="shared" si="3"/>
        <v>25300000</v>
      </c>
    </row>
    <row r="6" spans="1:13" x14ac:dyDescent="0.3">
      <c r="A6" s="33" t="s">
        <v>105</v>
      </c>
      <c r="B6" s="33" t="s">
        <v>106</v>
      </c>
      <c r="C6" s="33">
        <v>3995</v>
      </c>
      <c r="D6" s="33">
        <v>24.8</v>
      </c>
      <c r="E6" s="33">
        <f t="shared" si="0"/>
        <v>1.9975000000000001</v>
      </c>
      <c r="F6" s="33">
        <f t="shared" si="4"/>
        <v>12.415519399249062</v>
      </c>
      <c r="G6" s="33">
        <f t="shared" si="1"/>
        <v>12415519.399249062</v>
      </c>
      <c r="H6" s="33">
        <f t="shared" si="2"/>
        <v>0.50062578222778475</v>
      </c>
      <c r="I6" s="33">
        <f t="shared" si="3"/>
        <v>24800000</v>
      </c>
    </row>
    <row r="7" spans="1:13" x14ac:dyDescent="0.3">
      <c r="A7" s="33" t="s">
        <v>107</v>
      </c>
      <c r="B7" s="33" t="s">
        <v>108</v>
      </c>
      <c r="C7" s="33">
        <v>3995</v>
      </c>
      <c r="D7" s="33">
        <v>24.8</v>
      </c>
      <c r="E7" s="33">
        <f t="shared" si="0"/>
        <v>1.9975000000000001</v>
      </c>
      <c r="F7" s="33">
        <f t="shared" si="4"/>
        <v>12.415519399249062</v>
      </c>
      <c r="G7" s="33">
        <f t="shared" si="1"/>
        <v>12415519.399249062</v>
      </c>
      <c r="H7" s="33">
        <f t="shared" si="2"/>
        <v>0.50062578222778475</v>
      </c>
      <c r="I7" s="33">
        <f t="shared" si="3"/>
        <v>24800000</v>
      </c>
    </row>
    <row r="8" spans="1:13" x14ac:dyDescent="0.3">
      <c r="A8" s="33" t="s">
        <v>109</v>
      </c>
      <c r="B8" s="33" t="s">
        <v>110</v>
      </c>
      <c r="C8" s="33">
        <v>3890</v>
      </c>
      <c r="D8" s="33">
        <v>24.2</v>
      </c>
      <c r="E8" s="33">
        <f t="shared" si="0"/>
        <v>1.9450000000000001</v>
      </c>
      <c r="F8" s="33">
        <f t="shared" si="4"/>
        <v>12.442159383033419</v>
      </c>
      <c r="G8" s="33">
        <f t="shared" si="1"/>
        <v>12442159.383033419</v>
      </c>
      <c r="H8" s="33">
        <f t="shared" si="2"/>
        <v>0.51413881748071977</v>
      </c>
      <c r="I8" s="33">
        <f t="shared" si="3"/>
        <v>24200000</v>
      </c>
    </row>
    <row r="9" spans="1:13" x14ac:dyDescent="0.3">
      <c r="A9" s="33" t="s">
        <v>111</v>
      </c>
      <c r="B9" s="33" t="s">
        <v>112</v>
      </c>
      <c r="C9" s="33">
        <v>3910</v>
      </c>
      <c r="D9" s="33">
        <v>24.2</v>
      </c>
      <c r="E9" s="33">
        <f t="shared" si="0"/>
        <v>1.9550000000000001</v>
      </c>
      <c r="F9" s="33">
        <f t="shared" si="4"/>
        <v>12.37851662404092</v>
      </c>
      <c r="G9" s="33">
        <f t="shared" si="1"/>
        <v>12378516.62404092</v>
      </c>
      <c r="H9" s="33">
        <f t="shared" si="2"/>
        <v>0.51150895140664965</v>
      </c>
      <c r="I9" s="33">
        <f t="shared" si="3"/>
        <v>24200000</v>
      </c>
    </row>
    <row r="10" spans="1:13" x14ac:dyDescent="0.3">
      <c r="A10" s="33" t="s">
        <v>113</v>
      </c>
      <c r="B10" s="33" t="s">
        <v>114</v>
      </c>
      <c r="C10" s="33">
        <v>3825</v>
      </c>
      <c r="D10" s="33">
        <v>23.7</v>
      </c>
      <c r="E10" s="33">
        <f t="shared" si="0"/>
        <v>1.9125000000000001</v>
      </c>
      <c r="F10" s="33">
        <f t="shared" si="4"/>
        <v>12.392156862745097</v>
      </c>
      <c r="G10" s="33">
        <f t="shared" si="1"/>
        <v>12392156.862745097</v>
      </c>
      <c r="H10" s="33">
        <f t="shared" si="2"/>
        <v>0.52287581699346408</v>
      </c>
      <c r="I10" s="33">
        <f t="shared" si="3"/>
        <v>23700000</v>
      </c>
    </row>
    <row r="11" spans="1:13" x14ac:dyDescent="0.3">
      <c r="A11" s="33" t="s">
        <v>115</v>
      </c>
      <c r="B11" s="33" t="s">
        <v>116</v>
      </c>
      <c r="C11" s="33">
        <v>3825</v>
      </c>
      <c r="D11" s="33">
        <v>23.7</v>
      </c>
      <c r="E11" s="33">
        <f t="shared" si="0"/>
        <v>1.9125000000000001</v>
      </c>
      <c r="F11" s="33">
        <f t="shared" si="4"/>
        <v>12.392156862745097</v>
      </c>
      <c r="G11" s="33">
        <f t="shared" si="1"/>
        <v>12392156.862745097</v>
      </c>
      <c r="H11" s="33">
        <f t="shared" si="2"/>
        <v>0.52287581699346408</v>
      </c>
      <c r="I11" s="33">
        <f t="shared" si="3"/>
        <v>23700000</v>
      </c>
    </row>
    <row r="12" spans="1:13" x14ac:dyDescent="0.3">
      <c r="A12" s="33" t="s">
        <v>117</v>
      </c>
      <c r="B12" s="33" t="s">
        <v>118</v>
      </c>
      <c r="C12" s="33">
        <v>3825</v>
      </c>
      <c r="D12" s="33">
        <v>23.7</v>
      </c>
      <c r="E12" s="33">
        <f t="shared" si="0"/>
        <v>1.9125000000000001</v>
      </c>
      <c r="F12" s="33">
        <f t="shared" si="4"/>
        <v>12.392156862745097</v>
      </c>
      <c r="G12" s="33">
        <f t="shared" si="1"/>
        <v>12392156.862745097</v>
      </c>
      <c r="H12" s="33">
        <f t="shared" si="2"/>
        <v>0.52287581699346408</v>
      </c>
      <c r="I12" s="33">
        <f t="shared" si="3"/>
        <v>23700000</v>
      </c>
    </row>
    <row r="13" spans="1:13" x14ac:dyDescent="0.3">
      <c r="A13" s="33" t="s">
        <v>119</v>
      </c>
      <c r="B13" s="33" t="s">
        <v>120</v>
      </c>
      <c r="C13" s="33">
        <v>3825</v>
      </c>
      <c r="D13" s="33">
        <v>23.7</v>
      </c>
      <c r="E13" s="33">
        <f t="shared" si="0"/>
        <v>1.9125000000000001</v>
      </c>
      <c r="F13" s="33">
        <f t="shared" si="4"/>
        <v>12.392156862745097</v>
      </c>
      <c r="G13" s="33">
        <f t="shared" si="1"/>
        <v>12392156.862745097</v>
      </c>
      <c r="H13" s="33">
        <f t="shared" si="2"/>
        <v>0.52287581699346408</v>
      </c>
      <c r="I13" s="33">
        <f t="shared" si="3"/>
        <v>23700000</v>
      </c>
    </row>
    <row r="14" spans="1:13" x14ac:dyDescent="0.3">
      <c r="A14" s="33" t="s">
        <v>121</v>
      </c>
      <c r="B14" s="33" t="s">
        <v>122</v>
      </c>
      <c r="C14" s="33">
        <v>3825</v>
      </c>
      <c r="D14" s="33">
        <v>23.7</v>
      </c>
      <c r="E14" s="33">
        <f t="shared" si="0"/>
        <v>1.9125000000000001</v>
      </c>
      <c r="F14" s="33">
        <f t="shared" si="4"/>
        <v>12.392156862745097</v>
      </c>
      <c r="G14" s="33">
        <f t="shared" si="1"/>
        <v>12392156.862745097</v>
      </c>
      <c r="H14" s="33">
        <f t="shared" si="2"/>
        <v>0.52287581699346408</v>
      </c>
      <c r="I14" s="33">
        <f t="shared" si="3"/>
        <v>23700000</v>
      </c>
    </row>
    <row r="15" spans="1:13" x14ac:dyDescent="0.3">
      <c r="A15" s="33" t="s">
        <v>123</v>
      </c>
      <c r="B15" s="33" t="s">
        <v>124</v>
      </c>
      <c r="C15" s="33">
        <v>3740</v>
      </c>
      <c r="D15" s="33">
        <v>23.2</v>
      </c>
      <c r="E15" s="33">
        <f t="shared" si="0"/>
        <v>1.87</v>
      </c>
      <c r="F15" s="33">
        <f t="shared" si="4"/>
        <v>12.406417112299463</v>
      </c>
      <c r="G15" s="33">
        <f t="shared" si="1"/>
        <v>12406417.112299463</v>
      </c>
      <c r="H15" s="33">
        <f t="shared" si="2"/>
        <v>0.53475935828876997</v>
      </c>
      <c r="I15" s="33">
        <f t="shared" si="3"/>
        <v>23200000</v>
      </c>
    </row>
    <row r="16" spans="1:13" x14ac:dyDescent="0.3">
      <c r="A16" s="33" t="s">
        <v>125</v>
      </c>
      <c r="B16" s="33" t="s">
        <v>126</v>
      </c>
      <c r="C16" s="33">
        <v>3740</v>
      </c>
      <c r="D16" s="33">
        <v>23.2</v>
      </c>
      <c r="E16" s="33">
        <f t="shared" si="0"/>
        <v>1.87</v>
      </c>
      <c r="F16" s="33">
        <f t="shared" si="4"/>
        <v>12.406417112299463</v>
      </c>
      <c r="G16" s="33">
        <f t="shared" si="1"/>
        <v>12406417.112299463</v>
      </c>
      <c r="H16" s="33">
        <f t="shared" si="2"/>
        <v>0.53475935828876997</v>
      </c>
      <c r="I16" s="33">
        <f t="shared" si="3"/>
        <v>23200000</v>
      </c>
    </row>
    <row r="17" spans="1:9" x14ac:dyDescent="0.3">
      <c r="A17" s="33" t="s">
        <v>127</v>
      </c>
      <c r="B17" s="33" t="s">
        <v>128</v>
      </c>
      <c r="C17" s="33">
        <v>3740</v>
      </c>
      <c r="D17" s="33">
        <v>23.2</v>
      </c>
      <c r="E17" s="33">
        <f t="shared" si="0"/>
        <v>1.87</v>
      </c>
      <c r="F17" s="33">
        <f t="shared" si="4"/>
        <v>12.406417112299463</v>
      </c>
      <c r="G17" s="33">
        <f t="shared" si="1"/>
        <v>12406417.112299463</v>
      </c>
      <c r="H17" s="33">
        <f t="shared" si="2"/>
        <v>0.53475935828876997</v>
      </c>
      <c r="I17" s="33">
        <f t="shared" si="3"/>
        <v>23200000</v>
      </c>
    </row>
    <row r="18" spans="1:9" x14ac:dyDescent="0.3">
      <c r="A18" s="33" t="s">
        <v>129</v>
      </c>
      <c r="B18" s="33" t="s">
        <v>130</v>
      </c>
      <c r="C18" s="33">
        <v>3655</v>
      </c>
      <c r="D18" s="33">
        <v>22.7</v>
      </c>
      <c r="E18" s="33">
        <f t="shared" si="0"/>
        <v>1.8274999999999999</v>
      </c>
      <c r="F18" s="33">
        <f t="shared" si="4"/>
        <v>12.421340629274965</v>
      </c>
      <c r="G18" s="33">
        <f t="shared" si="1"/>
        <v>12421340.629274966</v>
      </c>
      <c r="H18" s="33">
        <f t="shared" si="2"/>
        <v>0.54719562243502051</v>
      </c>
      <c r="I18" s="33">
        <f t="shared" si="3"/>
        <v>22700000</v>
      </c>
    </row>
    <row r="19" spans="1:9" x14ac:dyDescent="0.3">
      <c r="A19" s="33" t="s">
        <v>131</v>
      </c>
      <c r="B19" s="33" t="s">
        <v>132</v>
      </c>
      <c r="C19" s="33">
        <v>3655</v>
      </c>
      <c r="D19" s="33">
        <v>22.7</v>
      </c>
      <c r="E19" s="33">
        <f t="shared" si="0"/>
        <v>1.8274999999999999</v>
      </c>
      <c r="F19" s="33">
        <f t="shared" si="4"/>
        <v>12.421340629274965</v>
      </c>
      <c r="G19" s="33">
        <f t="shared" si="1"/>
        <v>12421340.629274966</v>
      </c>
      <c r="H19" s="33">
        <f t="shared" si="2"/>
        <v>0.54719562243502051</v>
      </c>
      <c r="I19" s="33">
        <f t="shared" si="3"/>
        <v>22700000</v>
      </c>
    </row>
    <row r="20" spans="1:9" x14ac:dyDescent="0.3">
      <c r="A20" s="33" t="s">
        <v>133</v>
      </c>
      <c r="B20" s="33" t="s">
        <v>134</v>
      </c>
      <c r="C20" s="33">
        <v>3655</v>
      </c>
      <c r="D20" s="33">
        <v>22.7</v>
      </c>
      <c r="E20" s="33">
        <f t="shared" si="0"/>
        <v>1.8274999999999999</v>
      </c>
      <c r="F20" s="33">
        <f t="shared" si="4"/>
        <v>12.421340629274965</v>
      </c>
      <c r="G20" s="33">
        <f t="shared" si="1"/>
        <v>12421340.629274966</v>
      </c>
      <c r="H20" s="33">
        <f t="shared" si="2"/>
        <v>0.54719562243502051</v>
      </c>
      <c r="I20" s="33">
        <f t="shared" si="3"/>
        <v>22700000</v>
      </c>
    </row>
    <row r="21" spans="1:9" x14ac:dyDescent="0.3">
      <c r="A21" s="33" t="s">
        <v>135</v>
      </c>
      <c r="B21" s="33" t="s">
        <v>136</v>
      </c>
      <c r="C21" s="33">
        <v>3570</v>
      </c>
      <c r="D21" s="33">
        <v>22.1</v>
      </c>
      <c r="E21" s="33">
        <f t="shared" si="0"/>
        <v>1.7849999999999999</v>
      </c>
      <c r="F21" s="33">
        <f t="shared" si="4"/>
        <v>12.380952380952383</v>
      </c>
      <c r="G21" s="33">
        <f t="shared" si="1"/>
        <v>12380952.380952382</v>
      </c>
      <c r="H21" s="33">
        <f t="shared" si="2"/>
        <v>0.56022408963585435</v>
      </c>
      <c r="I21" s="33">
        <f t="shared" si="3"/>
        <v>22100000</v>
      </c>
    </row>
    <row r="22" spans="1:9" x14ac:dyDescent="0.3">
      <c r="A22" s="33" t="s">
        <v>137</v>
      </c>
      <c r="B22" s="33" t="s">
        <v>138</v>
      </c>
      <c r="C22" s="33">
        <v>3570</v>
      </c>
      <c r="D22" s="33">
        <v>22.1</v>
      </c>
      <c r="E22" s="33">
        <f t="shared" si="0"/>
        <v>1.7849999999999999</v>
      </c>
      <c r="F22" s="33">
        <f t="shared" si="4"/>
        <v>12.380952380952383</v>
      </c>
      <c r="G22" s="33">
        <f t="shared" si="1"/>
        <v>12380952.380952382</v>
      </c>
      <c r="H22" s="33">
        <f t="shared" si="2"/>
        <v>0.56022408963585435</v>
      </c>
      <c r="I22" s="33">
        <f t="shared" si="3"/>
        <v>22100000</v>
      </c>
    </row>
    <row r="23" spans="1:9" x14ac:dyDescent="0.3">
      <c r="A23" s="33" t="s">
        <v>139</v>
      </c>
      <c r="B23" s="33" t="s">
        <v>140</v>
      </c>
      <c r="C23" s="33">
        <v>3485</v>
      </c>
      <c r="D23" s="33">
        <v>21.6</v>
      </c>
      <c r="E23" s="33">
        <f t="shared" si="0"/>
        <v>1.7424999999999999</v>
      </c>
      <c r="F23" s="33">
        <f t="shared" si="4"/>
        <v>12.395982783357246</v>
      </c>
      <c r="G23" s="33">
        <f t="shared" si="1"/>
        <v>12395982.783357246</v>
      </c>
      <c r="H23" s="33">
        <f t="shared" si="2"/>
        <v>0.57388809182209466</v>
      </c>
      <c r="I23" s="33">
        <f t="shared" si="3"/>
        <v>21600000</v>
      </c>
    </row>
    <row r="24" spans="1:9" x14ac:dyDescent="0.3">
      <c r="A24" s="33" t="s">
        <v>141</v>
      </c>
      <c r="B24" s="33" t="s">
        <v>142</v>
      </c>
      <c r="C24" s="33">
        <v>3485</v>
      </c>
      <c r="D24" s="33">
        <v>21.6</v>
      </c>
      <c r="E24" s="33">
        <f t="shared" si="0"/>
        <v>1.7424999999999999</v>
      </c>
      <c r="F24" s="33">
        <f t="shared" si="4"/>
        <v>12.395982783357246</v>
      </c>
      <c r="G24" s="33">
        <f t="shared" si="1"/>
        <v>12395982.783357246</v>
      </c>
      <c r="H24" s="33">
        <f t="shared" si="2"/>
        <v>0.57388809182209466</v>
      </c>
      <c r="I24" s="33">
        <f t="shared" si="3"/>
        <v>21600000</v>
      </c>
    </row>
    <row r="25" spans="1:9" x14ac:dyDescent="0.3">
      <c r="A25" s="33" t="s">
        <v>143</v>
      </c>
      <c r="B25" s="33" t="s">
        <v>144</v>
      </c>
      <c r="C25" s="33">
        <v>3485</v>
      </c>
      <c r="D25" s="33">
        <v>21.6</v>
      </c>
      <c r="E25" s="33">
        <f t="shared" si="0"/>
        <v>1.7424999999999999</v>
      </c>
      <c r="F25" s="33">
        <f t="shared" si="4"/>
        <v>12.395982783357246</v>
      </c>
      <c r="G25" s="33">
        <f t="shared" si="1"/>
        <v>12395982.783357246</v>
      </c>
      <c r="H25" s="33">
        <f t="shared" si="2"/>
        <v>0.57388809182209466</v>
      </c>
      <c r="I25" s="33">
        <f t="shared" si="3"/>
        <v>21600000</v>
      </c>
    </row>
    <row r="26" spans="1:9" x14ac:dyDescent="0.3">
      <c r="A26" s="33" t="s">
        <v>145</v>
      </c>
      <c r="B26" s="33" t="s">
        <v>146</v>
      </c>
      <c r="C26" s="33">
        <v>3400</v>
      </c>
      <c r="D26" s="33">
        <v>21.1</v>
      </c>
      <c r="E26" s="33">
        <f t="shared" si="0"/>
        <v>1.7</v>
      </c>
      <c r="F26" s="33">
        <f t="shared" si="4"/>
        <v>12.411764705882353</v>
      </c>
      <c r="G26" s="33">
        <f t="shared" si="1"/>
        <v>12411764.705882354</v>
      </c>
      <c r="H26" s="33">
        <f t="shared" si="2"/>
        <v>0.58823529411764708</v>
      </c>
      <c r="I26" s="33">
        <f t="shared" si="3"/>
        <v>21100000</v>
      </c>
    </row>
    <row r="27" spans="1:9" x14ac:dyDescent="0.3">
      <c r="A27" s="33" t="s">
        <v>147</v>
      </c>
      <c r="B27" s="33" t="s">
        <v>148</v>
      </c>
      <c r="C27" s="33">
        <v>3400</v>
      </c>
      <c r="D27" s="33">
        <v>21.1</v>
      </c>
      <c r="E27" s="33">
        <f t="shared" si="0"/>
        <v>1.7</v>
      </c>
      <c r="F27" s="33">
        <f t="shared" si="4"/>
        <v>12.411764705882353</v>
      </c>
      <c r="G27" s="33">
        <f t="shared" si="1"/>
        <v>12411764.705882354</v>
      </c>
      <c r="H27" s="33">
        <f t="shared" si="2"/>
        <v>0.58823529411764708</v>
      </c>
      <c r="I27" s="33">
        <f t="shared" si="3"/>
        <v>21100000</v>
      </c>
    </row>
    <row r="28" spans="1:9" x14ac:dyDescent="0.3">
      <c r="A28" s="33" t="s">
        <v>149</v>
      </c>
      <c r="B28" s="33" t="s">
        <v>150</v>
      </c>
      <c r="C28" s="33">
        <v>3230</v>
      </c>
      <c r="D28" s="33">
        <v>20</v>
      </c>
      <c r="E28" s="33">
        <f t="shared" si="0"/>
        <v>1.615</v>
      </c>
      <c r="F28" s="33">
        <f t="shared" si="4"/>
        <v>12.383900928792571</v>
      </c>
      <c r="G28" s="33">
        <f t="shared" si="1"/>
        <v>12383900.92879257</v>
      </c>
      <c r="H28" s="33">
        <f t="shared" si="2"/>
        <v>0.61919504643962853</v>
      </c>
      <c r="I28" s="33">
        <f t="shared" si="3"/>
        <v>20000000</v>
      </c>
    </row>
    <row r="29" spans="1:9" x14ac:dyDescent="0.3">
      <c r="A29" s="33" t="s">
        <v>151</v>
      </c>
      <c r="B29" s="33" t="s">
        <v>152</v>
      </c>
      <c r="C29" s="33">
        <v>3230</v>
      </c>
      <c r="D29" s="33">
        <v>20</v>
      </c>
      <c r="E29" s="33">
        <f t="shared" si="0"/>
        <v>1.615</v>
      </c>
      <c r="F29" s="33">
        <f t="shared" si="4"/>
        <v>12.383900928792571</v>
      </c>
      <c r="G29" s="33">
        <f t="shared" si="1"/>
        <v>12383900.92879257</v>
      </c>
      <c r="H29" s="33">
        <f t="shared" si="2"/>
        <v>0.61919504643962853</v>
      </c>
      <c r="I29" s="33">
        <f t="shared" si="3"/>
        <v>20000000</v>
      </c>
    </row>
    <row r="30" spans="1:9" x14ac:dyDescent="0.3">
      <c r="A30" s="33" t="s">
        <v>153</v>
      </c>
      <c r="B30" s="33" t="s">
        <v>154</v>
      </c>
      <c r="C30" s="33">
        <v>3230</v>
      </c>
      <c r="D30" s="33">
        <v>20</v>
      </c>
      <c r="E30" s="33">
        <f t="shared" si="0"/>
        <v>1.615</v>
      </c>
      <c r="F30" s="33">
        <f t="shared" si="4"/>
        <v>12.383900928792571</v>
      </c>
      <c r="G30" s="33">
        <f t="shared" si="1"/>
        <v>12383900.92879257</v>
      </c>
      <c r="H30" s="33">
        <f t="shared" si="2"/>
        <v>0.61919504643962853</v>
      </c>
      <c r="I30" s="33">
        <f t="shared" si="3"/>
        <v>20000000</v>
      </c>
    </row>
    <row r="31" spans="1:9" x14ac:dyDescent="0.3">
      <c r="A31" s="33" t="s">
        <v>155</v>
      </c>
      <c r="B31" s="33" t="s">
        <v>156</v>
      </c>
      <c r="C31" s="33">
        <v>3230</v>
      </c>
      <c r="D31" s="33">
        <v>20</v>
      </c>
      <c r="E31" s="33">
        <f t="shared" si="0"/>
        <v>1.615</v>
      </c>
      <c r="F31" s="33">
        <f t="shared" si="4"/>
        <v>12.383900928792571</v>
      </c>
      <c r="G31" s="33">
        <f t="shared" si="1"/>
        <v>12383900.92879257</v>
      </c>
      <c r="H31" s="33">
        <f t="shared" si="2"/>
        <v>0.61919504643962853</v>
      </c>
      <c r="I31" s="33">
        <f t="shared" si="3"/>
        <v>20000000</v>
      </c>
    </row>
    <row r="32" spans="1:9" x14ac:dyDescent="0.3">
      <c r="A32" s="33" t="s">
        <v>157</v>
      </c>
      <c r="B32" s="33" t="s">
        <v>158</v>
      </c>
      <c r="C32" s="33">
        <v>3145</v>
      </c>
      <c r="D32" s="33">
        <v>19.5</v>
      </c>
      <c r="E32" s="33">
        <f t="shared" si="0"/>
        <v>1.5725</v>
      </c>
      <c r="F32" s="33">
        <f t="shared" si="4"/>
        <v>12.400635930047695</v>
      </c>
      <c r="G32" s="33">
        <f t="shared" si="1"/>
        <v>12400635.930047695</v>
      </c>
      <c r="H32" s="33">
        <f t="shared" si="2"/>
        <v>0.63593004769475359</v>
      </c>
      <c r="I32" s="33">
        <f t="shared" si="3"/>
        <v>19500000</v>
      </c>
    </row>
    <row r="33" spans="1:9" x14ac:dyDescent="0.3">
      <c r="A33" s="33" t="s">
        <v>159</v>
      </c>
      <c r="B33" s="33" t="s">
        <v>160</v>
      </c>
      <c r="C33" s="33">
        <v>3145</v>
      </c>
      <c r="D33" s="33">
        <v>19.5</v>
      </c>
      <c r="E33" s="33">
        <f t="shared" si="0"/>
        <v>1.5725</v>
      </c>
      <c r="F33" s="33">
        <f t="shared" si="4"/>
        <v>12.400635930047695</v>
      </c>
      <c r="G33" s="33">
        <f t="shared" si="1"/>
        <v>12400635.930047695</v>
      </c>
      <c r="H33" s="33">
        <f t="shared" si="2"/>
        <v>0.63593004769475359</v>
      </c>
      <c r="I33" s="33">
        <f t="shared" si="3"/>
        <v>19500000</v>
      </c>
    </row>
    <row r="34" spans="1:9" x14ac:dyDescent="0.3">
      <c r="A34" s="33" t="s">
        <v>161</v>
      </c>
      <c r="B34" s="33" t="s">
        <v>162</v>
      </c>
      <c r="C34" s="33">
        <v>3145</v>
      </c>
      <c r="D34" s="33">
        <v>19.5</v>
      </c>
      <c r="E34" s="33">
        <f t="shared" si="0"/>
        <v>1.5725</v>
      </c>
      <c r="F34" s="33">
        <f t="shared" si="4"/>
        <v>12.400635930047695</v>
      </c>
      <c r="G34" s="33">
        <f t="shared" si="1"/>
        <v>12400635.930047695</v>
      </c>
      <c r="H34" s="33">
        <f t="shared" si="2"/>
        <v>0.63593004769475359</v>
      </c>
      <c r="I34" s="33">
        <f t="shared" si="3"/>
        <v>19500000</v>
      </c>
    </row>
    <row r="35" spans="1:9" x14ac:dyDescent="0.3">
      <c r="A35" s="33" t="s">
        <v>163</v>
      </c>
      <c r="B35" s="33" t="s">
        <v>164</v>
      </c>
      <c r="C35" s="33">
        <v>3145</v>
      </c>
      <c r="D35" s="33">
        <v>19.5</v>
      </c>
      <c r="E35" s="33">
        <f t="shared" si="0"/>
        <v>1.5725</v>
      </c>
      <c r="F35" s="33">
        <f t="shared" si="4"/>
        <v>12.400635930047695</v>
      </c>
      <c r="G35" s="33">
        <f t="shared" si="1"/>
        <v>12400635.930047695</v>
      </c>
      <c r="H35" s="33">
        <f t="shared" si="2"/>
        <v>0.63593004769475359</v>
      </c>
      <c r="I35" s="33">
        <f t="shared" si="3"/>
        <v>19500000</v>
      </c>
    </row>
    <row r="36" spans="1:9" x14ac:dyDescent="0.3">
      <c r="A36" s="33" t="s">
        <v>165</v>
      </c>
      <c r="B36" s="33" t="s">
        <v>166</v>
      </c>
      <c r="C36" s="33">
        <v>3145</v>
      </c>
      <c r="D36" s="33">
        <v>19.5</v>
      </c>
      <c r="E36" s="33">
        <f t="shared" si="0"/>
        <v>1.5725</v>
      </c>
      <c r="F36" s="33">
        <f t="shared" si="4"/>
        <v>12.400635930047695</v>
      </c>
      <c r="G36" s="33">
        <f t="shared" si="1"/>
        <v>12400635.930047695</v>
      </c>
      <c r="H36" s="33">
        <f t="shared" si="2"/>
        <v>0.63593004769475359</v>
      </c>
      <c r="I36" s="33">
        <f t="shared" si="3"/>
        <v>19500000</v>
      </c>
    </row>
    <row r="37" spans="1:9" x14ac:dyDescent="0.3">
      <c r="A37" s="33" t="s">
        <v>167</v>
      </c>
      <c r="B37" s="33" t="s">
        <v>168</v>
      </c>
      <c r="C37" s="33">
        <v>3060</v>
      </c>
      <c r="D37" s="33">
        <v>19</v>
      </c>
      <c r="E37" s="33">
        <f t="shared" si="0"/>
        <v>1.53</v>
      </c>
      <c r="F37" s="33">
        <f t="shared" si="4"/>
        <v>12.418300653594772</v>
      </c>
      <c r="G37" s="33">
        <f t="shared" si="1"/>
        <v>12418300.653594771</v>
      </c>
      <c r="H37" s="33">
        <f t="shared" si="2"/>
        <v>0.65359477124183007</v>
      </c>
      <c r="I37" s="33">
        <f t="shared" si="3"/>
        <v>19000000</v>
      </c>
    </row>
    <row r="38" spans="1:9" x14ac:dyDescent="0.3">
      <c r="A38" s="33" t="s">
        <v>169</v>
      </c>
      <c r="B38" s="33" t="s">
        <v>170</v>
      </c>
      <c r="C38" s="33">
        <v>3060</v>
      </c>
      <c r="D38" s="33">
        <v>19</v>
      </c>
      <c r="E38" s="33">
        <f t="shared" si="0"/>
        <v>1.53</v>
      </c>
      <c r="F38" s="33">
        <f t="shared" si="4"/>
        <v>12.418300653594772</v>
      </c>
      <c r="G38" s="33">
        <f t="shared" si="1"/>
        <v>12418300.653594771</v>
      </c>
      <c r="H38" s="33">
        <f t="shared" si="2"/>
        <v>0.65359477124183007</v>
      </c>
      <c r="I38" s="33">
        <f t="shared" si="3"/>
        <v>19000000</v>
      </c>
    </row>
    <row r="39" spans="1:9" x14ac:dyDescent="0.3">
      <c r="A39" s="33" t="s">
        <v>171</v>
      </c>
      <c r="B39" s="33" t="s">
        <v>172</v>
      </c>
      <c r="C39" s="33">
        <v>3060</v>
      </c>
      <c r="D39" s="33">
        <v>19</v>
      </c>
      <c r="E39" s="33">
        <f t="shared" si="0"/>
        <v>1.53</v>
      </c>
      <c r="F39" s="33">
        <f t="shared" si="4"/>
        <v>12.418300653594772</v>
      </c>
      <c r="G39" s="33">
        <f t="shared" si="1"/>
        <v>12418300.653594771</v>
      </c>
      <c r="H39" s="33">
        <f t="shared" si="2"/>
        <v>0.65359477124183007</v>
      </c>
      <c r="I39" s="33">
        <f t="shared" si="3"/>
        <v>19000000</v>
      </c>
    </row>
    <row r="40" spans="1:9" x14ac:dyDescent="0.3">
      <c r="A40" s="33" t="s">
        <v>173</v>
      </c>
      <c r="B40" s="33" t="s">
        <v>174</v>
      </c>
      <c r="C40" s="33">
        <v>2975</v>
      </c>
      <c r="D40" s="33">
        <v>18.399999999999999</v>
      </c>
      <c r="E40" s="33">
        <f t="shared" si="0"/>
        <v>1.4875</v>
      </c>
      <c r="F40" s="33">
        <f t="shared" si="4"/>
        <v>12.369747899159663</v>
      </c>
      <c r="G40" s="33">
        <f t="shared" si="1"/>
        <v>12369747.899159662</v>
      </c>
      <c r="H40" s="33">
        <f t="shared" si="2"/>
        <v>0.67226890756302515</v>
      </c>
      <c r="I40" s="33">
        <f t="shared" si="3"/>
        <v>18400000</v>
      </c>
    </row>
    <row r="41" spans="1:9" x14ac:dyDescent="0.3">
      <c r="A41" s="33" t="s">
        <v>175</v>
      </c>
      <c r="B41" s="33" t="s">
        <v>176</v>
      </c>
      <c r="C41" s="33">
        <v>2975</v>
      </c>
      <c r="D41" s="33">
        <v>18.399999999999999</v>
      </c>
      <c r="E41" s="33">
        <f t="shared" si="0"/>
        <v>1.4875</v>
      </c>
      <c r="F41" s="33">
        <f t="shared" si="4"/>
        <v>12.369747899159663</v>
      </c>
      <c r="G41" s="33">
        <f t="shared" si="1"/>
        <v>12369747.899159662</v>
      </c>
      <c r="H41" s="33">
        <f t="shared" si="2"/>
        <v>0.67226890756302515</v>
      </c>
      <c r="I41" s="33">
        <f t="shared" si="3"/>
        <v>18400000</v>
      </c>
    </row>
    <row r="42" spans="1:9" x14ac:dyDescent="0.3">
      <c r="A42" s="33" t="s">
        <v>177</v>
      </c>
      <c r="B42" s="33" t="s">
        <v>178</v>
      </c>
      <c r="C42" s="33">
        <v>2890</v>
      </c>
      <c r="D42" s="33">
        <v>17.899999999999999</v>
      </c>
      <c r="E42" s="33">
        <f t="shared" si="0"/>
        <v>1.4450000000000001</v>
      </c>
      <c r="F42" s="33">
        <f t="shared" si="4"/>
        <v>12.387543252595155</v>
      </c>
      <c r="G42" s="33">
        <f t="shared" si="1"/>
        <v>12387543.252595155</v>
      </c>
      <c r="H42" s="33">
        <f t="shared" si="2"/>
        <v>0.69204152249134943</v>
      </c>
      <c r="I42" s="33">
        <f t="shared" si="3"/>
        <v>17900000</v>
      </c>
    </row>
    <row r="43" spans="1:9" x14ac:dyDescent="0.3">
      <c r="A43" s="33" t="s">
        <v>179</v>
      </c>
      <c r="B43" s="33" t="s">
        <v>180</v>
      </c>
      <c r="C43" s="33">
        <v>2890</v>
      </c>
      <c r="D43" s="33">
        <v>17.899999999999999</v>
      </c>
      <c r="E43" s="33">
        <f t="shared" si="0"/>
        <v>1.4450000000000001</v>
      </c>
      <c r="F43" s="33">
        <f t="shared" si="4"/>
        <v>12.387543252595155</v>
      </c>
      <c r="G43" s="33">
        <f t="shared" si="1"/>
        <v>12387543.252595155</v>
      </c>
      <c r="H43" s="33">
        <f t="shared" si="2"/>
        <v>0.69204152249134943</v>
      </c>
      <c r="I43" s="33">
        <f t="shared" si="3"/>
        <v>17900000</v>
      </c>
    </row>
    <row r="44" spans="1:9" x14ac:dyDescent="0.3">
      <c r="A44" s="33" t="s">
        <v>181</v>
      </c>
      <c r="B44" s="33" t="s">
        <v>182</v>
      </c>
      <c r="C44" s="33">
        <v>2890</v>
      </c>
      <c r="D44" s="33">
        <v>17.899999999999999</v>
      </c>
      <c r="E44" s="33">
        <f t="shared" si="0"/>
        <v>1.4450000000000001</v>
      </c>
      <c r="F44" s="33">
        <f t="shared" si="4"/>
        <v>12.387543252595155</v>
      </c>
      <c r="G44" s="33">
        <f t="shared" si="1"/>
        <v>12387543.252595155</v>
      </c>
      <c r="H44" s="33">
        <f t="shared" si="2"/>
        <v>0.69204152249134943</v>
      </c>
      <c r="I44" s="33">
        <f t="shared" si="3"/>
        <v>17900000</v>
      </c>
    </row>
    <row r="45" spans="1:9" x14ac:dyDescent="0.3">
      <c r="A45" s="33" t="s">
        <v>183</v>
      </c>
      <c r="B45" s="33" t="s">
        <v>184</v>
      </c>
      <c r="C45" s="33">
        <v>2890</v>
      </c>
      <c r="D45" s="33">
        <v>17.899999999999999</v>
      </c>
      <c r="E45" s="33">
        <f t="shared" si="0"/>
        <v>1.4450000000000001</v>
      </c>
      <c r="F45" s="33">
        <f t="shared" si="4"/>
        <v>12.387543252595155</v>
      </c>
      <c r="G45" s="33">
        <f t="shared" si="1"/>
        <v>12387543.252595155</v>
      </c>
      <c r="H45" s="33">
        <f t="shared" si="2"/>
        <v>0.69204152249134943</v>
      </c>
      <c r="I45" s="33">
        <f t="shared" si="3"/>
        <v>17900000</v>
      </c>
    </row>
    <row r="46" spans="1:9" x14ac:dyDescent="0.3">
      <c r="A46" s="33" t="s">
        <v>185</v>
      </c>
      <c r="B46" s="33" t="s">
        <v>186</v>
      </c>
      <c r="C46" s="33">
        <v>2890</v>
      </c>
      <c r="D46" s="33">
        <v>17.899999999999999</v>
      </c>
      <c r="E46" s="33">
        <f t="shared" si="0"/>
        <v>1.4450000000000001</v>
      </c>
      <c r="F46" s="33">
        <f t="shared" si="4"/>
        <v>12.387543252595155</v>
      </c>
      <c r="G46" s="33">
        <f t="shared" si="1"/>
        <v>12387543.252595155</v>
      </c>
      <c r="H46" s="33">
        <f t="shared" si="2"/>
        <v>0.69204152249134943</v>
      </c>
      <c r="I46" s="33">
        <f t="shared" si="3"/>
        <v>17900000</v>
      </c>
    </row>
    <row r="47" spans="1:9" x14ac:dyDescent="0.3">
      <c r="A47" s="33" t="s">
        <v>187</v>
      </c>
      <c r="B47" s="33" t="s">
        <v>188</v>
      </c>
      <c r="C47" s="33">
        <v>2890</v>
      </c>
      <c r="D47" s="33">
        <v>17.899999999999999</v>
      </c>
      <c r="E47" s="33">
        <f t="shared" si="0"/>
        <v>1.4450000000000001</v>
      </c>
      <c r="F47" s="33">
        <f t="shared" si="4"/>
        <v>12.387543252595155</v>
      </c>
      <c r="G47" s="33">
        <f t="shared" si="1"/>
        <v>12387543.252595155</v>
      </c>
      <c r="H47" s="33">
        <f t="shared" si="2"/>
        <v>0.69204152249134943</v>
      </c>
      <c r="I47" s="33">
        <f t="shared" si="3"/>
        <v>17900000</v>
      </c>
    </row>
    <row r="48" spans="1:9" x14ac:dyDescent="0.3">
      <c r="A48" s="33" t="s">
        <v>189</v>
      </c>
      <c r="B48" s="33" t="s">
        <v>190</v>
      </c>
      <c r="C48" s="33">
        <v>2805</v>
      </c>
      <c r="D48" s="33">
        <v>17.399999999999999</v>
      </c>
      <c r="E48" s="33">
        <f t="shared" si="0"/>
        <v>1.4025000000000001</v>
      </c>
      <c r="F48" s="33">
        <f t="shared" si="4"/>
        <v>12.406417112299463</v>
      </c>
      <c r="G48" s="33">
        <f t="shared" si="1"/>
        <v>12406417.112299463</v>
      </c>
      <c r="H48" s="33">
        <f t="shared" si="2"/>
        <v>0.71301247771836007</v>
      </c>
      <c r="I48" s="33">
        <f t="shared" si="3"/>
        <v>17400000</v>
      </c>
    </row>
    <row r="49" spans="1:9" x14ac:dyDescent="0.3">
      <c r="A49" s="33" t="s">
        <v>191</v>
      </c>
      <c r="B49" s="33" t="s">
        <v>192</v>
      </c>
      <c r="C49" s="33">
        <v>2805</v>
      </c>
      <c r="D49" s="33">
        <v>17.399999999999999</v>
      </c>
      <c r="E49" s="33">
        <f t="shared" si="0"/>
        <v>1.4025000000000001</v>
      </c>
      <c r="F49" s="33">
        <f t="shared" si="4"/>
        <v>12.406417112299463</v>
      </c>
      <c r="G49" s="33">
        <f t="shared" si="1"/>
        <v>12406417.112299463</v>
      </c>
      <c r="H49" s="33">
        <f t="shared" si="2"/>
        <v>0.71301247771836007</v>
      </c>
      <c r="I49" s="33">
        <f t="shared" si="3"/>
        <v>17400000</v>
      </c>
    </row>
    <row r="50" spans="1:9" x14ac:dyDescent="0.3">
      <c r="A50" s="33" t="s">
        <v>193</v>
      </c>
      <c r="B50" s="33" t="s">
        <v>194</v>
      </c>
      <c r="C50" s="33">
        <v>2000</v>
      </c>
      <c r="D50" s="33">
        <v>16.5</v>
      </c>
      <c r="E50" s="33">
        <f t="shared" si="0"/>
        <v>1</v>
      </c>
      <c r="F50" s="33">
        <f t="shared" si="4"/>
        <v>16.5</v>
      </c>
      <c r="G50" s="33">
        <f t="shared" si="1"/>
        <v>16500000</v>
      </c>
      <c r="H50" s="33">
        <f t="shared" si="2"/>
        <v>1</v>
      </c>
      <c r="I50" s="33">
        <f t="shared" si="3"/>
        <v>16500000</v>
      </c>
    </row>
    <row r="51" spans="1:9" x14ac:dyDescent="0.3">
      <c r="A51" s="33" t="s">
        <v>195</v>
      </c>
      <c r="B51" s="33" t="s">
        <v>196</v>
      </c>
      <c r="C51" s="33">
        <v>2635</v>
      </c>
      <c r="D51" s="33">
        <v>16.3</v>
      </c>
      <c r="E51" s="33">
        <f t="shared" si="0"/>
        <v>1.3174999999999999</v>
      </c>
      <c r="F51" s="33">
        <f t="shared" si="4"/>
        <v>12.3719165085389</v>
      </c>
      <c r="G51" s="33">
        <f t="shared" si="1"/>
        <v>12371916.5085389</v>
      </c>
      <c r="H51" s="33">
        <f t="shared" si="2"/>
        <v>0.75901328273244784</v>
      </c>
      <c r="I51" s="33">
        <f t="shared" si="3"/>
        <v>16300000</v>
      </c>
    </row>
    <row r="52" spans="1:9" x14ac:dyDescent="0.3">
      <c r="A52" s="33" t="s">
        <v>197</v>
      </c>
      <c r="B52" s="33" t="s">
        <v>198</v>
      </c>
      <c r="C52" s="33">
        <v>2465</v>
      </c>
      <c r="D52" s="33">
        <v>15.3</v>
      </c>
      <c r="E52" s="33">
        <f t="shared" si="0"/>
        <v>1.2324999999999999</v>
      </c>
      <c r="F52" s="33">
        <f t="shared" si="4"/>
        <v>12.413793103448278</v>
      </c>
      <c r="G52" s="33">
        <f t="shared" si="1"/>
        <v>12413793.103448277</v>
      </c>
      <c r="H52" s="33">
        <f t="shared" si="2"/>
        <v>0.81135902636916846</v>
      </c>
      <c r="I52" s="33">
        <f t="shared" si="3"/>
        <v>15300000</v>
      </c>
    </row>
    <row r="53" spans="1:9" x14ac:dyDescent="0.3">
      <c r="A53" s="33" t="s">
        <v>199</v>
      </c>
      <c r="B53" s="33" t="s">
        <v>200</v>
      </c>
      <c r="C53" s="33">
        <v>2465</v>
      </c>
      <c r="D53" s="33">
        <v>15.3</v>
      </c>
      <c r="E53" s="33">
        <f t="shared" si="0"/>
        <v>1.2324999999999999</v>
      </c>
      <c r="F53" s="33">
        <f t="shared" si="4"/>
        <v>12.413793103448278</v>
      </c>
      <c r="G53" s="33">
        <f t="shared" si="1"/>
        <v>12413793.103448277</v>
      </c>
      <c r="H53" s="33">
        <f t="shared" si="2"/>
        <v>0.81135902636916846</v>
      </c>
      <c r="I53" s="33">
        <f t="shared" si="3"/>
        <v>15300000</v>
      </c>
    </row>
    <row r="54" spans="1:9" x14ac:dyDescent="0.3">
      <c r="A54" s="33" t="s">
        <v>201</v>
      </c>
      <c r="B54" s="33" t="s">
        <v>202</v>
      </c>
      <c r="C54" s="33">
        <v>2465</v>
      </c>
      <c r="D54" s="33">
        <v>15.3</v>
      </c>
      <c r="E54" s="33">
        <f t="shared" si="0"/>
        <v>1.2324999999999999</v>
      </c>
      <c r="F54" s="33">
        <f t="shared" si="4"/>
        <v>12.413793103448278</v>
      </c>
      <c r="G54" s="33">
        <f t="shared" si="1"/>
        <v>12413793.103448277</v>
      </c>
      <c r="H54" s="33">
        <f t="shared" si="2"/>
        <v>0.81135902636916846</v>
      </c>
      <c r="I54" s="33">
        <f t="shared" si="3"/>
        <v>15300000</v>
      </c>
    </row>
    <row r="55" spans="1:9" x14ac:dyDescent="0.3">
      <c r="A55" s="33" t="s">
        <v>203</v>
      </c>
      <c r="B55" s="33" t="s">
        <v>204</v>
      </c>
      <c r="C55" s="33">
        <v>2380</v>
      </c>
      <c r="D55" s="33">
        <v>14.8</v>
      </c>
      <c r="E55" s="33">
        <f t="shared" si="0"/>
        <v>1.19</v>
      </c>
      <c r="F55" s="33">
        <f t="shared" si="4"/>
        <v>12.436974789915968</v>
      </c>
      <c r="G55" s="33">
        <f t="shared" si="1"/>
        <v>12436974.789915968</v>
      </c>
      <c r="H55" s="33">
        <f t="shared" si="2"/>
        <v>0.84033613445378152</v>
      </c>
      <c r="I55" s="33">
        <f t="shared" si="3"/>
        <v>14800000</v>
      </c>
    </row>
    <row r="56" spans="1:9" x14ac:dyDescent="0.3">
      <c r="A56" s="33" t="s">
        <v>205</v>
      </c>
      <c r="B56" s="33" t="s">
        <v>206</v>
      </c>
      <c r="C56" s="33">
        <v>2380</v>
      </c>
      <c r="D56" s="33">
        <v>14.8</v>
      </c>
      <c r="E56" s="33">
        <f t="shared" si="0"/>
        <v>1.19</v>
      </c>
      <c r="F56" s="33">
        <f t="shared" si="4"/>
        <v>12.436974789915968</v>
      </c>
      <c r="G56" s="33">
        <f t="shared" si="1"/>
        <v>12436974.789915968</v>
      </c>
      <c r="H56" s="33">
        <f t="shared" si="2"/>
        <v>0.84033613445378152</v>
      </c>
      <c r="I56" s="33">
        <f t="shared" si="3"/>
        <v>14800000</v>
      </c>
    </row>
    <row r="57" spans="1:9" x14ac:dyDescent="0.3">
      <c r="A57" s="33" t="s">
        <v>207</v>
      </c>
      <c r="B57" s="33" t="s">
        <v>208</v>
      </c>
      <c r="C57" s="33">
        <v>2380</v>
      </c>
      <c r="D57" s="33">
        <v>14.8</v>
      </c>
      <c r="E57" s="33">
        <f t="shared" si="0"/>
        <v>1.19</v>
      </c>
      <c r="F57" s="33">
        <f t="shared" si="4"/>
        <v>12.436974789915968</v>
      </c>
      <c r="G57" s="33">
        <f t="shared" si="1"/>
        <v>12436974.789915968</v>
      </c>
      <c r="H57" s="33">
        <f t="shared" si="2"/>
        <v>0.84033613445378152</v>
      </c>
      <c r="I57" s="33">
        <f t="shared" si="3"/>
        <v>14800000</v>
      </c>
    </row>
    <row r="58" spans="1:9" x14ac:dyDescent="0.3">
      <c r="A58" s="33" t="s">
        <v>209</v>
      </c>
      <c r="B58" s="33" t="s">
        <v>210</v>
      </c>
      <c r="C58" s="33">
        <v>2380</v>
      </c>
      <c r="D58" s="33">
        <v>14.8</v>
      </c>
      <c r="E58" s="33">
        <f t="shared" si="0"/>
        <v>1.19</v>
      </c>
      <c r="F58" s="33">
        <f t="shared" si="4"/>
        <v>12.436974789915968</v>
      </c>
      <c r="G58" s="33">
        <f t="shared" si="1"/>
        <v>12436974.789915968</v>
      </c>
      <c r="H58" s="33">
        <f t="shared" si="2"/>
        <v>0.84033613445378152</v>
      </c>
      <c r="I58" s="33">
        <f t="shared" si="3"/>
        <v>14800000</v>
      </c>
    </row>
    <row r="59" spans="1:9" x14ac:dyDescent="0.3">
      <c r="A59" s="33" t="s">
        <v>211</v>
      </c>
      <c r="B59" s="33" t="s">
        <v>212</v>
      </c>
      <c r="C59" s="33">
        <v>2380</v>
      </c>
      <c r="D59" s="33">
        <v>14.8</v>
      </c>
      <c r="E59" s="33">
        <f t="shared" si="0"/>
        <v>1.19</v>
      </c>
      <c r="F59" s="33">
        <f t="shared" si="4"/>
        <v>12.436974789915968</v>
      </c>
      <c r="G59" s="33">
        <f t="shared" si="1"/>
        <v>12436974.789915968</v>
      </c>
      <c r="H59" s="33">
        <f t="shared" si="2"/>
        <v>0.84033613445378152</v>
      </c>
      <c r="I59" s="33">
        <f t="shared" si="3"/>
        <v>14800000</v>
      </c>
    </row>
    <row r="60" spans="1:9" x14ac:dyDescent="0.3">
      <c r="A60" s="33" t="s">
        <v>213</v>
      </c>
      <c r="B60" s="33" t="s">
        <v>214</v>
      </c>
      <c r="C60" s="33">
        <v>2236</v>
      </c>
      <c r="D60" s="33">
        <v>14.3</v>
      </c>
      <c r="E60" s="33">
        <f t="shared" si="0"/>
        <v>1.1180000000000001</v>
      </c>
      <c r="F60" s="33">
        <f t="shared" si="4"/>
        <v>12.790697674418604</v>
      </c>
      <c r="G60" s="33">
        <f t="shared" si="1"/>
        <v>12790697.674418604</v>
      </c>
      <c r="H60" s="33">
        <f t="shared" si="2"/>
        <v>0.89445438282647571</v>
      </c>
      <c r="I60" s="33">
        <f t="shared" si="3"/>
        <v>14300000</v>
      </c>
    </row>
    <row r="61" spans="1:9" x14ac:dyDescent="0.3">
      <c r="A61" s="33" t="s">
        <v>215</v>
      </c>
      <c r="B61" s="33" t="s">
        <v>216</v>
      </c>
      <c r="C61" s="33">
        <v>2295</v>
      </c>
      <c r="D61" s="33">
        <v>14.2</v>
      </c>
      <c r="E61" s="33">
        <f t="shared" si="0"/>
        <v>1.1475</v>
      </c>
      <c r="F61" s="33">
        <f t="shared" si="4"/>
        <v>12.374727668845315</v>
      </c>
      <c r="G61" s="33">
        <f t="shared" si="1"/>
        <v>12374727.668845315</v>
      </c>
      <c r="H61" s="33">
        <f t="shared" si="2"/>
        <v>0.8714596949891068</v>
      </c>
      <c r="I61" s="33">
        <f t="shared" si="3"/>
        <v>14200000</v>
      </c>
    </row>
    <row r="62" spans="1:9" x14ac:dyDescent="0.3">
      <c r="A62" s="33" t="s">
        <v>217</v>
      </c>
      <c r="B62" s="33" t="s">
        <v>218</v>
      </c>
      <c r="C62" s="33">
        <v>2295</v>
      </c>
      <c r="D62" s="33">
        <v>14.2</v>
      </c>
      <c r="E62" s="33">
        <f t="shared" si="0"/>
        <v>1.1475</v>
      </c>
      <c r="F62" s="33">
        <f t="shared" si="4"/>
        <v>12.374727668845315</v>
      </c>
      <c r="G62" s="33">
        <f t="shared" si="1"/>
        <v>12374727.668845315</v>
      </c>
      <c r="H62" s="33">
        <f t="shared" si="2"/>
        <v>0.8714596949891068</v>
      </c>
      <c r="I62" s="33">
        <f t="shared" si="3"/>
        <v>14200000</v>
      </c>
    </row>
    <row r="63" spans="1:9" x14ac:dyDescent="0.3">
      <c r="A63" s="33" t="s">
        <v>219</v>
      </c>
      <c r="B63" s="33" t="s">
        <v>220</v>
      </c>
      <c r="C63" s="33">
        <v>2210</v>
      </c>
      <c r="D63" s="33">
        <v>13.7</v>
      </c>
      <c r="E63" s="33">
        <f t="shared" si="0"/>
        <v>1.105</v>
      </c>
      <c r="F63" s="33">
        <f t="shared" si="4"/>
        <v>12.398190045248869</v>
      </c>
      <c r="G63" s="33">
        <f t="shared" si="1"/>
        <v>12398190.04524887</v>
      </c>
      <c r="H63" s="33">
        <f t="shared" si="2"/>
        <v>0.90497737556561086</v>
      </c>
      <c r="I63" s="33">
        <f t="shared" si="3"/>
        <v>13700000</v>
      </c>
    </row>
    <row r="64" spans="1:9" x14ac:dyDescent="0.3">
      <c r="A64" s="33" t="s">
        <v>221</v>
      </c>
      <c r="B64" s="33" t="s">
        <v>222</v>
      </c>
      <c r="C64" s="33">
        <v>2210</v>
      </c>
      <c r="D64" s="33">
        <v>13.7</v>
      </c>
      <c r="E64" s="33">
        <f t="shared" si="0"/>
        <v>1.105</v>
      </c>
      <c r="F64" s="33">
        <f t="shared" si="4"/>
        <v>12.398190045248869</v>
      </c>
      <c r="G64" s="33">
        <f t="shared" si="1"/>
        <v>12398190.04524887</v>
      </c>
      <c r="H64" s="33">
        <f t="shared" si="2"/>
        <v>0.90497737556561086</v>
      </c>
      <c r="I64" s="33">
        <f t="shared" si="3"/>
        <v>13700000</v>
      </c>
    </row>
    <row r="65" spans="1:9" x14ac:dyDescent="0.3">
      <c r="A65" s="33" t="s">
        <v>223</v>
      </c>
      <c r="B65" s="33" t="s">
        <v>224</v>
      </c>
      <c r="C65" s="33">
        <v>2125</v>
      </c>
      <c r="D65" s="33">
        <v>13.2</v>
      </c>
      <c r="E65" s="33">
        <f t="shared" si="0"/>
        <v>1.0625</v>
      </c>
      <c r="F65" s="33">
        <f t="shared" si="4"/>
        <v>12.423529411764704</v>
      </c>
      <c r="G65" s="33">
        <f t="shared" si="1"/>
        <v>12423529.411764704</v>
      </c>
      <c r="H65" s="33">
        <f t="shared" si="2"/>
        <v>0.94117647058823528</v>
      </c>
      <c r="I65" s="33">
        <f t="shared" si="3"/>
        <v>13200000</v>
      </c>
    </row>
    <row r="66" spans="1:9" x14ac:dyDescent="0.3">
      <c r="A66" s="33" t="s">
        <v>225</v>
      </c>
      <c r="B66" s="33" t="s">
        <v>226</v>
      </c>
      <c r="C66" s="33">
        <v>2125</v>
      </c>
      <c r="D66" s="33">
        <v>13.2</v>
      </c>
      <c r="E66" s="33">
        <f t="shared" si="0"/>
        <v>1.0625</v>
      </c>
      <c r="F66" s="33">
        <f t="shared" si="4"/>
        <v>12.423529411764704</v>
      </c>
      <c r="G66" s="33">
        <f t="shared" si="1"/>
        <v>12423529.411764704</v>
      </c>
      <c r="H66" s="33">
        <f t="shared" si="2"/>
        <v>0.94117647058823528</v>
      </c>
      <c r="I66" s="33">
        <f t="shared" si="3"/>
        <v>13200000</v>
      </c>
    </row>
    <row r="67" spans="1:9" x14ac:dyDescent="0.3">
      <c r="A67" s="33" t="s">
        <v>227</v>
      </c>
      <c r="B67" s="33" t="s">
        <v>228</v>
      </c>
      <c r="C67" s="33">
        <v>2125</v>
      </c>
      <c r="D67" s="33">
        <v>13.2</v>
      </c>
      <c r="E67" s="33">
        <f t="shared" ref="E67:E74" si="5">C67/$L$1</f>
        <v>1.0625</v>
      </c>
      <c r="F67" s="33">
        <f t="shared" ref="F67:F74" si="6">D67/E67</f>
        <v>12.423529411764704</v>
      </c>
      <c r="G67" s="33">
        <f t="shared" ref="G67:G74" si="7">F67*$L$2</f>
        <v>12423529.411764704</v>
      </c>
      <c r="H67" s="33">
        <f t="shared" ref="H67:H74" si="8">1/E67</f>
        <v>0.94117647058823528</v>
      </c>
      <c r="I67" s="33">
        <f t="shared" ref="I67:I74" si="9">D67*$L$2</f>
        <v>13200000</v>
      </c>
    </row>
    <row r="68" spans="1:9" x14ac:dyDescent="0.3">
      <c r="A68" s="33" t="s">
        <v>229</v>
      </c>
      <c r="B68" s="33" t="s">
        <v>230</v>
      </c>
      <c r="C68" s="33">
        <v>2040</v>
      </c>
      <c r="D68" s="33">
        <v>12.6</v>
      </c>
      <c r="E68" s="33">
        <f t="shared" si="5"/>
        <v>1.02</v>
      </c>
      <c r="F68" s="33">
        <f t="shared" si="6"/>
        <v>12.352941176470587</v>
      </c>
      <c r="G68" s="33">
        <f t="shared" si="7"/>
        <v>12352941.176470587</v>
      </c>
      <c r="H68" s="33">
        <f t="shared" si="8"/>
        <v>0.98039215686274506</v>
      </c>
      <c r="I68" s="33">
        <f t="shared" si="9"/>
        <v>12600000</v>
      </c>
    </row>
    <row r="69" spans="1:9" x14ac:dyDescent="0.3">
      <c r="A69" s="33" t="s">
        <v>231</v>
      </c>
      <c r="B69" s="33" t="s">
        <v>232</v>
      </c>
      <c r="C69" s="33">
        <v>1955</v>
      </c>
      <c r="D69" s="33">
        <v>12.1</v>
      </c>
      <c r="E69" s="33">
        <f t="shared" si="5"/>
        <v>0.97750000000000004</v>
      </c>
      <c r="F69" s="33">
        <f t="shared" si="6"/>
        <v>12.37851662404092</v>
      </c>
      <c r="G69" s="33">
        <f t="shared" si="7"/>
        <v>12378516.62404092</v>
      </c>
      <c r="H69" s="33">
        <f t="shared" si="8"/>
        <v>1.0230179028132993</v>
      </c>
      <c r="I69" s="33">
        <f t="shared" si="9"/>
        <v>12100000</v>
      </c>
    </row>
    <row r="70" spans="1:9" x14ac:dyDescent="0.3">
      <c r="A70" s="33" t="s">
        <v>233</v>
      </c>
      <c r="B70" s="33" t="s">
        <v>234</v>
      </c>
      <c r="C70" s="33">
        <v>1955</v>
      </c>
      <c r="D70" s="33">
        <v>12.1</v>
      </c>
      <c r="E70" s="33">
        <f t="shared" si="5"/>
        <v>0.97750000000000004</v>
      </c>
      <c r="F70" s="33">
        <f t="shared" si="6"/>
        <v>12.37851662404092</v>
      </c>
      <c r="G70" s="33">
        <f t="shared" si="7"/>
        <v>12378516.62404092</v>
      </c>
      <c r="H70" s="33">
        <f t="shared" si="8"/>
        <v>1.0230179028132993</v>
      </c>
      <c r="I70" s="33">
        <f t="shared" si="9"/>
        <v>12100000</v>
      </c>
    </row>
    <row r="71" spans="1:9" x14ac:dyDescent="0.3">
      <c r="A71" s="33" t="s">
        <v>235</v>
      </c>
      <c r="B71" s="33" t="s">
        <v>236</v>
      </c>
      <c r="C71" s="33">
        <v>1955</v>
      </c>
      <c r="D71" s="33">
        <v>12.1</v>
      </c>
      <c r="E71" s="33">
        <f t="shared" si="5"/>
        <v>0.97750000000000004</v>
      </c>
      <c r="F71" s="33">
        <f t="shared" si="6"/>
        <v>12.37851662404092</v>
      </c>
      <c r="G71" s="33">
        <f t="shared" si="7"/>
        <v>12378516.62404092</v>
      </c>
      <c r="H71" s="33">
        <f t="shared" si="8"/>
        <v>1.0230179028132993</v>
      </c>
      <c r="I71" s="33">
        <f t="shared" si="9"/>
        <v>12100000</v>
      </c>
    </row>
    <row r="72" spans="1:9" x14ac:dyDescent="0.3">
      <c r="A72" s="33" t="s">
        <v>237</v>
      </c>
      <c r="B72" s="33" t="s">
        <v>238</v>
      </c>
      <c r="C72" s="33">
        <v>1870</v>
      </c>
      <c r="D72" s="33">
        <v>11.6</v>
      </c>
      <c r="E72" s="33">
        <f t="shared" si="5"/>
        <v>0.93500000000000005</v>
      </c>
      <c r="F72" s="33">
        <f t="shared" si="6"/>
        <v>12.406417112299463</v>
      </c>
      <c r="G72" s="33">
        <f t="shared" si="7"/>
        <v>12406417.112299463</v>
      </c>
      <c r="H72" s="33">
        <f t="shared" si="8"/>
        <v>1.0695187165775399</v>
      </c>
      <c r="I72" s="33">
        <f t="shared" si="9"/>
        <v>11600000</v>
      </c>
    </row>
    <row r="73" spans="1:9" x14ac:dyDescent="0.3">
      <c r="A73" s="33" t="s">
        <v>239</v>
      </c>
      <c r="B73" s="33" t="s">
        <v>240</v>
      </c>
      <c r="C73" s="33">
        <v>1615</v>
      </c>
      <c r="D73" s="33">
        <v>10</v>
      </c>
      <c r="E73" s="33">
        <f t="shared" si="5"/>
        <v>0.8075</v>
      </c>
      <c r="F73" s="33">
        <f t="shared" si="6"/>
        <v>12.383900928792571</v>
      </c>
      <c r="G73" s="33">
        <f t="shared" si="7"/>
        <v>12383900.92879257</v>
      </c>
      <c r="H73" s="33">
        <f t="shared" si="8"/>
        <v>1.2383900928792571</v>
      </c>
      <c r="I73" s="33">
        <f t="shared" si="9"/>
        <v>10000000</v>
      </c>
    </row>
    <row r="74" spans="1:9" x14ac:dyDescent="0.3">
      <c r="A74" s="33" t="s">
        <v>241</v>
      </c>
      <c r="B74" s="33" t="s">
        <v>242</v>
      </c>
      <c r="C74" s="33">
        <v>935</v>
      </c>
      <c r="D74" s="33">
        <v>5.8</v>
      </c>
      <c r="E74" s="33">
        <f t="shared" si="5"/>
        <v>0.46750000000000003</v>
      </c>
      <c r="F74" s="33">
        <f t="shared" si="6"/>
        <v>12.406417112299463</v>
      </c>
      <c r="G74" s="33">
        <f t="shared" si="7"/>
        <v>12406417.112299463</v>
      </c>
      <c r="H74" s="33">
        <f t="shared" si="8"/>
        <v>2.1390374331550799</v>
      </c>
      <c r="I74" s="33">
        <f t="shared" si="9"/>
        <v>5800000</v>
      </c>
    </row>
    <row r="77" spans="1:9" x14ac:dyDescent="0.3">
      <c r="G77" s="33">
        <f>AVERAGE(G2:G74)</f>
        <v>12462045.119834222</v>
      </c>
    </row>
  </sheetData>
  <sheetProtection password="F31D" sheet="1" objects="1" scenarios="1" formatCells="0" selectLockedCells="1" sort="0" autoFilter="0"/>
  <hyperlinks>
    <hyperlink ref="B2" r:id="rId1" display="http://en.wikipedia.org/wiki/Maclura_pomifera"/>
    <hyperlink ref="B3" r:id="rId2" display="http://en.wikipedia.org/wiki/Ostrya_virginiana"/>
    <hyperlink ref="B4" r:id="rId3" display="http://en.wikipedia.org/wiki/Diospyros_virginiana"/>
    <hyperlink ref="B5" r:id="rId4" display="http://en.wikipedia.org/wiki/Carya_ovata"/>
    <hyperlink ref="B6" r:id="rId5" display="http://en.wikipedia.org/wiki/Cornus_nuttallii"/>
    <hyperlink ref="B7" r:id="rId6" display="http://en.wikipedia.org/wiki/Ilex_opaca"/>
    <hyperlink ref="B8" r:id="rId7" display="http://en.wikipedia.org/wiki/Betula_lenta"/>
    <hyperlink ref="B9" r:id="rId8" display="http://en.wikipedia.org/wiki/Quercus_alba"/>
    <hyperlink ref="B10" r:id="rId9" display="http://en.wikipedia.org/wiki/Carpinus_caroliniana"/>
    <hyperlink ref="B11" r:id="rId10" display="http://en.wikipedia.org/wiki/Carya_cordiformis"/>
    <hyperlink ref="B12" r:id="rId11" display="http://en.wikipedia.org/wiki/Honey_locust"/>
    <hyperlink ref="B13" r:id="rId12" display="http://en.wikipedia.org/wiki/Arbutus_menziesii"/>
    <hyperlink ref="B14" r:id="rId13" display="http://en.wikipedia.org/wiki/Quercus_stellata"/>
    <hyperlink ref="B15" r:id="rId14" display="http://en.wikipedia.org/wiki/Robinia_pseudoacacia"/>
    <hyperlink ref="B16" r:id="rId15" display="http://en.wikipedia.org/wiki/Acer_saccharum"/>
    <hyperlink ref="B17" r:id="rId16" display="http://en.wikipedia.org/wiki/Morus_rubra"/>
    <hyperlink ref="B18" r:id="rId17" display="http://en.wikipedia.org/wiki/Fagus_grandifolia"/>
    <hyperlink ref="B19" r:id="rId18" display="http://en.wikipedia.org/wiki/Quercus_macrocarpa"/>
    <hyperlink ref="B20" r:id="rId19" display="http://en.wikipedia.org/wiki/Quercus_garryana"/>
    <hyperlink ref="B21" r:id="rId20" display="http://en.wikipedia.org/wiki/Betula_alleghaniensis"/>
    <hyperlink ref="B22" r:id="rId21" display="http://en.wikipedia.org/wiki/Quercus_rubra"/>
    <hyperlink ref="B23" r:id="rId22" display="http://en.wikipedia.org/wiki/Apple"/>
    <hyperlink ref="B24" r:id="rId23" display="http://en.wikipedia.org/wiki/Fraxinus_americana"/>
    <hyperlink ref="B25" r:id="rId24" display="http://en.wikipedia.org/wiki/Umbellularia"/>
    <hyperlink ref="B26" r:id="rId25" display="http://en.wikipedia.org/wiki/Fraxinus_pennsylvanica"/>
    <hyperlink ref="B27" r:id="rId26" display="http://en.wikipedia.org/wiki/Acer_nigrum"/>
    <hyperlink ref="B28" r:id="rId27" display="http://en.wikipedia.org/wiki/Fraxinus_latifolia"/>
    <hyperlink ref="B29" r:id="rId28" display="http://en.wikipedia.org/wiki/Betula_papyrifera"/>
    <hyperlink ref="B30" r:id="rId29" display="http://en.wikipedia.org/wiki/Acer_rubrum"/>
    <hyperlink ref="B31" r:id="rId30" display="http://en.wikipedia.org/wiki/Juglans_nigra"/>
    <hyperlink ref="B32" r:id="rId31" display="http://en.wikipedia.org/wiki/Betula_populifolia"/>
    <hyperlink ref="B33" r:id="rId32" display="http://en.wikipedia.org/wiki/Prunus_serotina"/>
    <hyperlink ref="B34" r:id="rId33" display="http://en.wikipedia.org/wiki/Celtis_occidentalis"/>
    <hyperlink ref="B35" r:id="rId34" display="http://en.wikipedia.org/wiki/Juniperus_scopulorum"/>
    <hyperlink ref="B36" r:id="rId35" display="http://en.wikipedia.org/wiki/Larix_laricina"/>
    <hyperlink ref="B37" r:id="rId36" display="http://en.wikipedia.org/wiki/Kentucky_coffeetree"/>
    <hyperlink ref="B38" r:id="rId37" display="http://en.wikipedia.org/wiki/Ulmus_rubra"/>
    <hyperlink ref="B39" r:id="rId38" display="http://en.wikipedia.org/wiki/Oxydendrum"/>
    <hyperlink ref="B40" r:id="rId39" display="http://en.wikipedia.org/wiki/Ulmus_americana"/>
    <hyperlink ref="B41" r:id="rId40" display="http://en.wikipedia.org/wiki/Eucalyptus_camaldulensis"/>
    <hyperlink ref="B42" r:id="rId41" display="http://en.wikipedia.org/wiki/Fraxinus_nigra"/>
    <hyperlink ref="B43" r:id="rId42" display="http://en.wikipedia.org/wiki/Acer_negundo"/>
    <hyperlink ref="B44" r:id="rId43" display="http://en.wikipedia.org/wiki/Ulmus_laevis"/>
    <hyperlink ref="B45" r:id="rId44" display="http://en.wikipedia.org/wiki/Acer_macrophyllum"/>
    <hyperlink ref="B46" r:id="rId45" display="http://en.wikipedia.org/wiki/Pinus_resinosa"/>
    <hyperlink ref="B47" r:id="rId46" display="http://en.wikipedia.org/wiki/Platanus_occidentalis"/>
    <hyperlink ref="B48" r:id="rId47" display="http://en.wikipedia.org/wiki/Douglas_fir"/>
    <hyperlink ref="B49" r:id="rId48" display="http://en.wikipedia.org/wiki/Acer_saccharinum"/>
    <hyperlink ref="B50" r:id="rId49" display="http://en.wikipedia.org/wiki/Firelog"/>
    <hyperlink ref="B51" r:id="rId50" display="http://en.wikipedia.org/wiki/Pinus_rigida"/>
    <hyperlink ref="B52" r:id="rId51" display="http://en.wikipedia.org/wiki/Tsuga"/>
    <hyperlink ref="B53" r:id="rId52" display="http://en.wikipedia.org/wiki/Pinus_contorta"/>
    <hyperlink ref="B54" r:id="rId53" display="http://en.wikipedia.org/wiki/Picea_mariana"/>
    <hyperlink ref="B55" r:id="rId54" display="http://en.wikipedia.org/wiki/Alnus_rubra"/>
    <hyperlink ref="B56" r:id="rId55" display="http://en.wikipedia.org/wiki/Catalpa_speciosa"/>
    <hyperlink ref="B57" r:id="rId56" display="http://en.wikipedia.org/wiki/Jack_pine"/>
    <hyperlink ref="B58" r:id="rId57" display="http://en.wikipedia.org/wiki/Pinus_ponderosa"/>
    <hyperlink ref="B59" r:id="rId58" display="http://en.wikipedia.org/wiki/Picea_sitchensis"/>
    <hyperlink ref="B60" r:id="rId59" display="http://en.wikipedia.org/wiki/Western_white_pine"/>
    <hyperlink ref="B61" r:id="rId60" display="http://en.wikipedia.org/wiki/Abies_concolor"/>
    <hyperlink ref="B62" r:id="rId61" display="http://en.wikipedia.org/wiki/Willow"/>
    <hyperlink ref="B63" r:id="rId62" display="http://en.wikipedia.org/wiki/Populus_tremuloides"/>
    <hyperlink ref="B64" r:id="rId63" display="http://en.wikipedia.org/wiki/Tilia_americana"/>
    <hyperlink ref="B65" r:id="rId64" display="http://en.wikipedia.org/wiki/Juglans_cinerea"/>
    <hyperlink ref="B66" r:id="rId65" display="http://en.wikipedia.org/wiki/Abies_balsamea"/>
    <hyperlink ref="B67" r:id="rId66" display="http://en.wikipedia.org/wiki/Pinus_strobus"/>
    <hyperlink ref="B68" r:id="rId67" display="http://en.wikipedia.org/wiki/Populus_trichocarpa"/>
    <hyperlink ref="B69" r:id="rId68" display="http://en.wikipedia.org/wiki/Aesculus_glabra"/>
    <hyperlink ref="B70" r:id="rId69" display="http://en.wikipedia.org/wiki/Juniperus_virginiana"/>
    <hyperlink ref="B71" r:id="rId70" display="http://en.wikipedia.org/wiki/Picea_engelmannii"/>
    <hyperlink ref="B72" r:id="rId71" display="http://en.wikipedia.org/wiki/Thuja_occidentalis"/>
    <hyperlink ref="B73" r:id="rId72" display="http://en.wikipedia.org/wiki/Bambusoidea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sheetPr>
  <dimension ref="A1:K501"/>
  <sheetViews>
    <sheetView topLeftCell="C2" workbookViewId="0">
      <selection activeCell="K2" sqref="K2:K501"/>
    </sheetView>
  </sheetViews>
  <sheetFormatPr defaultColWidth="23.88671875" defaultRowHeight="14.4" x14ac:dyDescent="0.3"/>
  <cols>
    <col min="1" max="1" width="23.88671875" style="108"/>
    <col min="2" max="2" width="23.77734375" style="108" bestFit="1" customWidth="1"/>
    <col min="3" max="3" width="23.77734375" style="108" customWidth="1"/>
    <col min="4" max="4" width="22.33203125" style="108" bestFit="1" customWidth="1"/>
    <col min="5" max="5" width="20.109375" style="108" bestFit="1" customWidth="1"/>
    <col min="6" max="6" width="23.88671875" style="108"/>
    <col min="7" max="7" width="22.88671875" style="108" bestFit="1" customWidth="1"/>
    <col min="8" max="8" width="19.44140625" style="108" bestFit="1" customWidth="1"/>
    <col min="9" max="9" width="11.5546875" style="108" bestFit="1" customWidth="1"/>
    <col min="10" max="16384" width="23.88671875" style="108"/>
  </cols>
  <sheetData>
    <row r="1" spans="1:11" s="113" customFormat="1" x14ac:dyDescent="0.3">
      <c r="A1" s="160"/>
      <c r="B1" s="167"/>
      <c r="C1" s="167"/>
      <c r="D1" s="206" t="s">
        <v>437</v>
      </c>
      <c r="E1" s="207"/>
      <c r="G1" s="423" t="s">
        <v>446</v>
      </c>
      <c r="H1" s="424"/>
      <c r="I1" s="425"/>
      <c r="K1" s="113" t="s">
        <v>536</v>
      </c>
    </row>
    <row r="2" spans="1:11" s="113" customFormat="1" ht="14.4" customHeight="1" x14ac:dyDescent="0.3">
      <c r="A2" s="208" t="s">
        <v>577</v>
      </c>
      <c r="B2" s="205" t="s">
        <v>440</v>
      </c>
      <c r="C2" s="205" t="s">
        <v>539</v>
      </c>
      <c r="D2" s="204" t="s">
        <v>451</v>
      </c>
      <c r="E2" s="209" t="s">
        <v>450</v>
      </c>
      <c r="G2" s="426" t="s">
        <v>281</v>
      </c>
      <c r="H2" s="427"/>
      <c r="I2" s="428" t="s">
        <v>447</v>
      </c>
      <c r="K2" s="113">
        <v>0.01</v>
      </c>
    </row>
    <row r="3" spans="1:11" ht="15" thickBot="1" x14ac:dyDescent="0.35">
      <c r="A3" s="198" t="s">
        <v>439</v>
      </c>
      <c r="B3" s="196">
        <v>4.5</v>
      </c>
      <c r="C3" s="196" t="str">
        <f>A3&amp;B3</f>
        <v>Rough4.5</v>
      </c>
      <c r="D3" s="196">
        <v>20</v>
      </c>
      <c r="E3" s="197">
        <v>50</v>
      </c>
      <c r="G3" s="202" t="s">
        <v>448</v>
      </c>
      <c r="H3" s="203" t="s">
        <v>449</v>
      </c>
      <c r="I3" s="429"/>
      <c r="K3" s="113">
        <v>0.02</v>
      </c>
    </row>
    <row r="4" spans="1:11" x14ac:dyDescent="0.3">
      <c r="A4" s="198" t="s">
        <v>439</v>
      </c>
      <c r="B4" s="196">
        <v>6</v>
      </c>
      <c r="C4" s="196" t="str">
        <f t="shared" ref="C4:C12" si="0">A4&amp;B4</f>
        <v>Rough6</v>
      </c>
      <c r="D4" s="196">
        <v>75</v>
      </c>
      <c r="E4" s="197">
        <v>110</v>
      </c>
      <c r="G4" s="190">
        <v>75</v>
      </c>
      <c r="H4" s="191">
        <v>134</v>
      </c>
      <c r="I4" s="192">
        <v>6</v>
      </c>
      <c r="K4" s="113">
        <v>0.03</v>
      </c>
    </row>
    <row r="5" spans="1:11" x14ac:dyDescent="0.3">
      <c r="A5" s="198" t="s">
        <v>439</v>
      </c>
      <c r="B5" s="196">
        <v>8</v>
      </c>
      <c r="C5" s="196" t="str">
        <f t="shared" si="0"/>
        <v>Rough8</v>
      </c>
      <c r="D5" s="196">
        <v>160</v>
      </c>
      <c r="E5" s="197">
        <v>240</v>
      </c>
      <c r="G5" s="193">
        <v>135</v>
      </c>
      <c r="H5" s="189">
        <v>264</v>
      </c>
      <c r="I5" s="192">
        <v>8</v>
      </c>
      <c r="K5" s="113">
        <v>0.04</v>
      </c>
    </row>
    <row r="6" spans="1:11" x14ac:dyDescent="0.3">
      <c r="A6" s="198" t="s">
        <v>439</v>
      </c>
      <c r="B6" s="196">
        <v>10</v>
      </c>
      <c r="C6" s="196" t="str">
        <f t="shared" si="0"/>
        <v>Rough10</v>
      </c>
      <c r="D6" s="196">
        <v>290</v>
      </c>
      <c r="E6" s="197">
        <v>400</v>
      </c>
      <c r="G6" s="193">
        <v>265</v>
      </c>
      <c r="H6" s="189">
        <v>444</v>
      </c>
      <c r="I6" s="192">
        <v>10</v>
      </c>
      <c r="K6" s="113">
        <v>0.05</v>
      </c>
    </row>
    <row r="7" spans="1:11" x14ac:dyDescent="0.3">
      <c r="A7" s="198" t="s">
        <v>439</v>
      </c>
      <c r="B7" s="196">
        <v>12</v>
      </c>
      <c r="C7" s="196" t="str">
        <f t="shared" si="0"/>
        <v>Rough12</v>
      </c>
      <c r="D7" s="196">
        <v>490</v>
      </c>
      <c r="E7" s="197">
        <v>650</v>
      </c>
      <c r="G7" s="193">
        <v>445</v>
      </c>
      <c r="H7" s="189">
        <v>724</v>
      </c>
      <c r="I7" s="192">
        <v>12</v>
      </c>
      <c r="K7" s="113">
        <v>0.06</v>
      </c>
    </row>
    <row r="8" spans="1:11" x14ac:dyDescent="0.3">
      <c r="A8" s="198" t="s">
        <v>438</v>
      </c>
      <c r="B8" s="196">
        <v>4.5</v>
      </c>
      <c r="C8" s="196" t="str">
        <f t="shared" si="0"/>
        <v>Smooth4.5</v>
      </c>
      <c r="D8" s="196">
        <v>50</v>
      </c>
      <c r="E8" s="197">
        <v>90</v>
      </c>
      <c r="G8" s="193">
        <v>725</v>
      </c>
      <c r="H8" s="189">
        <v>999</v>
      </c>
      <c r="I8" s="192">
        <v>14</v>
      </c>
      <c r="K8" s="113">
        <v>7.0000000000000007E-2</v>
      </c>
    </row>
    <row r="9" spans="1:11" x14ac:dyDescent="0.3">
      <c r="A9" s="198" t="s">
        <v>438</v>
      </c>
      <c r="B9" s="196">
        <v>6</v>
      </c>
      <c r="C9" s="196" t="str">
        <f t="shared" si="0"/>
        <v>Smooth6</v>
      </c>
      <c r="D9" s="196">
        <v>110</v>
      </c>
      <c r="E9" s="197">
        <v>200</v>
      </c>
      <c r="G9" s="193">
        <v>1000</v>
      </c>
      <c r="H9" s="189">
        <v>1489</v>
      </c>
      <c r="I9" s="194">
        <v>16</v>
      </c>
      <c r="K9" s="113">
        <v>0.08</v>
      </c>
    </row>
    <row r="10" spans="1:11" x14ac:dyDescent="0.3">
      <c r="A10" s="198" t="s">
        <v>438</v>
      </c>
      <c r="B10" s="196">
        <v>8</v>
      </c>
      <c r="C10" s="196" t="str">
        <f t="shared" si="0"/>
        <v>Smooth8</v>
      </c>
      <c r="D10" s="196">
        <v>240</v>
      </c>
      <c r="E10" s="197">
        <v>420</v>
      </c>
      <c r="G10" s="193">
        <v>1490</v>
      </c>
      <c r="H10" s="189">
        <v>1949</v>
      </c>
      <c r="I10" s="192">
        <v>18</v>
      </c>
      <c r="K10" s="113">
        <v>0.09</v>
      </c>
    </row>
    <row r="11" spans="1:11" x14ac:dyDescent="0.3">
      <c r="A11" s="198" t="s">
        <v>438</v>
      </c>
      <c r="B11" s="196">
        <v>10</v>
      </c>
      <c r="C11" s="196" t="str">
        <f t="shared" si="0"/>
        <v>Smooth10</v>
      </c>
      <c r="D11" s="196">
        <v>400</v>
      </c>
      <c r="E11" s="197">
        <v>800</v>
      </c>
      <c r="G11" s="193">
        <v>1950</v>
      </c>
      <c r="H11" s="189">
        <v>2799</v>
      </c>
      <c r="I11" s="192">
        <v>20</v>
      </c>
      <c r="K11" s="113">
        <v>0.1</v>
      </c>
    </row>
    <row r="12" spans="1:11" ht="15" thickBot="1" x14ac:dyDescent="0.35">
      <c r="A12" s="199" t="s">
        <v>438</v>
      </c>
      <c r="B12" s="200">
        <v>12</v>
      </c>
      <c r="C12" s="196" t="str">
        <f t="shared" si="0"/>
        <v>Smooth12</v>
      </c>
      <c r="D12" s="200">
        <v>650</v>
      </c>
      <c r="E12" s="201">
        <v>1000</v>
      </c>
      <c r="G12" s="193">
        <v>2800</v>
      </c>
      <c r="H12" s="189">
        <v>3949</v>
      </c>
      <c r="I12" s="192">
        <v>24</v>
      </c>
      <c r="K12" s="113">
        <v>0.11</v>
      </c>
    </row>
    <row r="13" spans="1:11" ht="15" thickBot="1" x14ac:dyDescent="0.35">
      <c r="G13" s="188">
        <v>3950</v>
      </c>
      <c r="H13" s="187">
        <v>5200</v>
      </c>
      <c r="I13" s="195">
        <v>26</v>
      </c>
      <c r="K13" s="113">
        <v>0.12</v>
      </c>
    </row>
    <row r="14" spans="1:11" x14ac:dyDescent="0.3">
      <c r="K14" s="113">
        <v>0.13</v>
      </c>
    </row>
    <row r="15" spans="1:11" x14ac:dyDescent="0.3">
      <c r="K15" s="113">
        <v>0.14000000000000001</v>
      </c>
    </row>
    <row r="16" spans="1:11" x14ac:dyDescent="0.3">
      <c r="K16" s="113">
        <v>0.15</v>
      </c>
    </row>
    <row r="17" spans="11:11" x14ac:dyDescent="0.3">
      <c r="K17" s="113">
        <v>0.16</v>
      </c>
    </row>
    <row r="18" spans="11:11" x14ac:dyDescent="0.3">
      <c r="K18" s="113">
        <v>0.17</v>
      </c>
    </row>
    <row r="19" spans="11:11" x14ac:dyDescent="0.3">
      <c r="K19" s="113">
        <v>0.18</v>
      </c>
    </row>
    <row r="20" spans="11:11" x14ac:dyDescent="0.3">
      <c r="K20" s="113">
        <v>0.19</v>
      </c>
    </row>
    <row r="21" spans="11:11" x14ac:dyDescent="0.3">
      <c r="K21" s="113">
        <v>0.2</v>
      </c>
    </row>
    <row r="22" spans="11:11" x14ac:dyDescent="0.3">
      <c r="K22" s="113">
        <v>0.21</v>
      </c>
    </row>
    <row r="23" spans="11:11" x14ac:dyDescent="0.3">
      <c r="K23" s="113">
        <v>0.22</v>
      </c>
    </row>
    <row r="24" spans="11:11" x14ac:dyDescent="0.3">
      <c r="K24" s="113">
        <v>0.23</v>
      </c>
    </row>
    <row r="25" spans="11:11" x14ac:dyDescent="0.3">
      <c r="K25" s="113">
        <v>0.24</v>
      </c>
    </row>
    <row r="26" spans="11:11" x14ac:dyDescent="0.3">
      <c r="K26" s="113">
        <v>0.25</v>
      </c>
    </row>
    <row r="27" spans="11:11" x14ac:dyDescent="0.3">
      <c r="K27" s="113">
        <v>0.26</v>
      </c>
    </row>
    <row r="28" spans="11:11" x14ac:dyDescent="0.3">
      <c r="K28" s="113">
        <v>0.27</v>
      </c>
    </row>
    <row r="29" spans="11:11" x14ac:dyDescent="0.3">
      <c r="K29" s="113">
        <v>0.28000000000000003</v>
      </c>
    </row>
    <row r="30" spans="11:11" x14ac:dyDescent="0.3">
      <c r="K30" s="113">
        <v>0.28999999999999998</v>
      </c>
    </row>
    <row r="31" spans="11:11" x14ac:dyDescent="0.3">
      <c r="K31" s="113">
        <v>0.3</v>
      </c>
    </row>
    <row r="32" spans="11:11" x14ac:dyDescent="0.3">
      <c r="K32" s="113">
        <v>0.31</v>
      </c>
    </row>
    <row r="33" spans="11:11" x14ac:dyDescent="0.3">
      <c r="K33" s="113">
        <v>0.32</v>
      </c>
    </row>
    <row r="34" spans="11:11" x14ac:dyDescent="0.3">
      <c r="K34" s="113">
        <v>0.33</v>
      </c>
    </row>
    <row r="35" spans="11:11" x14ac:dyDescent="0.3">
      <c r="K35" s="113">
        <v>0.34</v>
      </c>
    </row>
    <row r="36" spans="11:11" x14ac:dyDescent="0.3">
      <c r="K36" s="113">
        <v>0.35</v>
      </c>
    </row>
    <row r="37" spans="11:11" x14ac:dyDescent="0.3">
      <c r="K37" s="113">
        <v>0.36</v>
      </c>
    </row>
    <row r="38" spans="11:11" x14ac:dyDescent="0.3">
      <c r="K38" s="113">
        <v>0.37</v>
      </c>
    </row>
    <row r="39" spans="11:11" x14ac:dyDescent="0.3">
      <c r="K39" s="113">
        <v>0.38</v>
      </c>
    </row>
    <row r="40" spans="11:11" x14ac:dyDescent="0.3">
      <c r="K40" s="113">
        <v>0.39</v>
      </c>
    </row>
    <row r="41" spans="11:11" x14ac:dyDescent="0.3">
      <c r="K41" s="113">
        <v>0.4</v>
      </c>
    </row>
    <row r="42" spans="11:11" x14ac:dyDescent="0.3">
      <c r="K42" s="113">
        <v>0.41</v>
      </c>
    </row>
    <row r="43" spans="11:11" x14ac:dyDescent="0.3">
      <c r="K43" s="113">
        <v>0.42</v>
      </c>
    </row>
    <row r="44" spans="11:11" x14ac:dyDescent="0.3">
      <c r="K44" s="113">
        <v>0.43</v>
      </c>
    </row>
    <row r="45" spans="11:11" x14ac:dyDescent="0.3">
      <c r="K45" s="113">
        <v>0.44</v>
      </c>
    </row>
    <row r="46" spans="11:11" x14ac:dyDescent="0.3">
      <c r="K46" s="113">
        <v>0.45</v>
      </c>
    </row>
    <row r="47" spans="11:11" x14ac:dyDescent="0.3">
      <c r="K47" s="113">
        <v>0.46</v>
      </c>
    </row>
    <row r="48" spans="11:11" x14ac:dyDescent="0.3">
      <c r="K48" s="113">
        <v>0.47</v>
      </c>
    </row>
    <row r="49" spans="11:11" x14ac:dyDescent="0.3">
      <c r="K49" s="113">
        <v>0.48</v>
      </c>
    </row>
    <row r="50" spans="11:11" x14ac:dyDescent="0.3">
      <c r="K50" s="113">
        <v>0.49</v>
      </c>
    </row>
    <row r="51" spans="11:11" x14ac:dyDescent="0.3">
      <c r="K51" s="113">
        <v>0.5</v>
      </c>
    </row>
    <row r="52" spans="11:11" x14ac:dyDescent="0.3">
      <c r="K52" s="113">
        <v>0.51</v>
      </c>
    </row>
    <row r="53" spans="11:11" x14ac:dyDescent="0.3">
      <c r="K53" s="113">
        <v>0.52</v>
      </c>
    </row>
    <row r="54" spans="11:11" x14ac:dyDescent="0.3">
      <c r="K54" s="113">
        <v>0.53</v>
      </c>
    </row>
    <row r="55" spans="11:11" x14ac:dyDescent="0.3">
      <c r="K55" s="113">
        <v>0.54</v>
      </c>
    </row>
    <row r="56" spans="11:11" x14ac:dyDescent="0.3">
      <c r="K56" s="113">
        <v>0.55000000000000004</v>
      </c>
    </row>
    <row r="57" spans="11:11" x14ac:dyDescent="0.3">
      <c r="K57" s="113">
        <v>0.56000000000000005</v>
      </c>
    </row>
    <row r="58" spans="11:11" x14ac:dyDescent="0.3">
      <c r="K58" s="113">
        <v>0.56999999999999995</v>
      </c>
    </row>
    <row r="59" spans="11:11" x14ac:dyDescent="0.3">
      <c r="K59" s="113">
        <v>0.57999999999999996</v>
      </c>
    </row>
    <row r="60" spans="11:11" x14ac:dyDescent="0.3">
      <c r="K60" s="113">
        <v>0.59</v>
      </c>
    </row>
    <row r="61" spans="11:11" x14ac:dyDescent="0.3">
      <c r="K61" s="113">
        <v>0.6</v>
      </c>
    </row>
    <row r="62" spans="11:11" x14ac:dyDescent="0.3">
      <c r="K62" s="113">
        <v>0.61</v>
      </c>
    </row>
    <row r="63" spans="11:11" x14ac:dyDescent="0.3">
      <c r="K63" s="113">
        <v>0.62</v>
      </c>
    </row>
    <row r="64" spans="11:11" x14ac:dyDescent="0.3">
      <c r="K64" s="113">
        <v>0.63</v>
      </c>
    </row>
    <row r="65" spans="11:11" x14ac:dyDescent="0.3">
      <c r="K65" s="113">
        <v>0.64</v>
      </c>
    </row>
    <row r="66" spans="11:11" x14ac:dyDescent="0.3">
      <c r="K66" s="113">
        <v>0.65</v>
      </c>
    </row>
    <row r="67" spans="11:11" x14ac:dyDescent="0.3">
      <c r="K67" s="113">
        <v>0.66</v>
      </c>
    </row>
    <row r="68" spans="11:11" x14ac:dyDescent="0.3">
      <c r="K68" s="113">
        <v>0.67</v>
      </c>
    </row>
    <row r="69" spans="11:11" x14ac:dyDescent="0.3">
      <c r="K69" s="113">
        <v>0.68</v>
      </c>
    </row>
    <row r="70" spans="11:11" x14ac:dyDescent="0.3">
      <c r="K70" s="113">
        <v>0.69</v>
      </c>
    </row>
    <row r="71" spans="11:11" x14ac:dyDescent="0.3">
      <c r="K71" s="113">
        <v>0.7</v>
      </c>
    </row>
    <row r="72" spans="11:11" x14ac:dyDescent="0.3">
      <c r="K72" s="113">
        <v>0.71</v>
      </c>
    </row>
    <row r="73" spans="11:11" x14ac:dyDescent="0.3">
      <c r="K73" s="113">
        <v>0.72</v>
      </c>
    </row>
    <row r="74" spans="11:11" x14ac:dyDescent="0.3">
      <c r="K74" s="113">
        <v>0.73</v>
      </c>
    </row>
    <row r="75" spans="11:11" x14ac:dyDescent="0.3">
      <c r="K75" s="113">
        <v>0.74</v>
      </c>
    </row>
    <row r="76" spans="11:11" x14ac:dyDescent="0.3">
      <c r="K76" s="113">
        <v>0.75</v>
      </c>
    </row>
    <row r="77" spans="11:11" x14ac:dyDescent="0.3">
      <c r="K77" s="113">
        <v>0.76</v>
      </c>
    </row>
    <row r="78" spans="11:11" x14ac:dyDescent="0.3">
      <c r="K78" s="113">
        <v>0.77</v>
      </c>
    </row>
    <row r="79" spans="11:11" x14ac:dyDescent="0.3">
      <c r="K79" s="113">
        <v>0.78</v>
      </c>
    </row>
    <row r="80" spans="11:11" x14ac:dyDescent="0.3">
      <c r="K80" s="113">
        <v>0.79</v>
      </c>
    </row>
    <row r="81" spans="11:11" x14ac:dyDescent="0.3">
      <c r="K81" s="113">
        <v>0.8</v>
      </c>
    </row>
    <row r="82" spans="11:11" x14ac:dyDescent="0.3">
      <c r="K82" s="113">
        <v>0.81</v>
      </c>
    </row>
    <row r="83" spans="11:11" x14ac:dyDescent="0.3">
      <c r="K83" s="113">
        <v>0.82</v>
      </c>
    </row>
    <row r="84" spans="11:11" x14ac:dyDescent="0.3">
      <c r="K84" s="113">
        <v>0.83</v>
      </c>
    </row>
    <row r="85" spans="11:11" x14ac:dyDescent="0.3">
      <c r="K85" s="113">
        <v>0.84</v>
      </c>
    </row>
    <row r="86" spans="11:11" x14ac:dyDescent="0.3">
      <c r="K86" s="113">
        <v>0.85</v>
      </c>
    </row>
    <row r="87" spans="11:11" x14ac:dyDescent="0.3">
      <c r="K87" s="113">
        <v>0.86</v>
      </c>
    </row>
    <row r="88" spans="11:11" x14ac:dyDescent="0.3">
      <c r="K88" s="113">
        <v>0.87</v>
      </c>
    </row>
    <row r="89" spans="11:11" x14ac:dyDescent="0.3">
      <c r="K89" s="113">
        <v>0.88</v>
      </c>
    </row>
    <row r="90" spans="11:11" x14ac:dyDescent="0.3">
      <c r="K90" s="113">
        <v>0.89</v>
      </c>
    </row>
    <row r="91" spans="11:11" x14ac:dyDescent="0.3">
      <c r="K91" s="113">
        <v>0.9</v>
      </c>
    </row>
    <row r="92" spans="11:11" x14ac:dyDescent="0.3">
      <c r="K92" s="113">
        <v>0.91</v>
      </c>
    </row>
    <row r="93" spans="11:11" x14ac:dyDescent="0.3">
      <c r="K93" s="113">
        <v>0.92</v>
      </c>
    </row>
    <row r="94" spans="11:11" x14ac:dyDescent="0.3">
      <c r="K94" s="113">
        <v>0.93</v>
      </c>
    </row>
    <row r="95" spans="11:11" x14ac:dyDescent="0.3">
      <c r="K95" s="113">
        <v>0.94</v>
      </c>
    </row>
    <row r="96" spans="11:11" x14ac:dyDescent="0.3">
      <c r="K96" s="113">
        <v>0.95</v>
      </c>
    </row>
    <row r="97" spans="11:11" x14ac:dyDescent="0.3">
      <c r="K97" s="113">
        <v>0.96</v>
      </c>
    </row>
    <row r="98" spans="11:11" x14ac:dyDescent="0.3">
      <c r="K98" s="113">
        <v>0.97</v>
      </c>
    </row>
    <row r="99" spans="11:11" x14ac:dyDescent="0.3">
      <c r="K99" s="113">
        <v>0.98</v>
      </c>
    </row>
    <row r="100" spans="11:11" x14ac:dyDescent="0.3">
      <c r="K100" s="113">
        <v>0.99</v>
      </c>
    </row>
    <row r="101" spans="11:11" x14ac:dyDescent="0.3">
      <c r="K101" s="113">
        <v>1</v>
      </c>
    </row>
    <row r="102" spans="11:11" x14ac:dyDescent="0.3">
      <c r="K102" s="113">
        <v>1.01</v>
      </c>
    </row>
    <row r="103" spans="11:11" x14ac:dyDescent="0.3">
      <c r="K103" s="113">
        <v>1.02</v>
      </c>
    </row>
    <row r="104" spans="11:11" x14ac:dyDescent="0.3">
      <c r="K104" s="113">
        <v>1.03</v>
      </c>
    </row>
    <row r="105" spans="11:11" x14ac:dyDescent="0.3">
      <c r="K105" s="113">
        <v>1.04</v>
      </c>
    </row>
    <row r="106" spans="11:11" x14ac:dyDescent="0.3">
      <c r="K106" s="113">
        <v>1.05</v>
      </c>
    </row>
    <row r="107" spans="11:11" x14ac:dyDescent="0.3">
      <c r="K107" s="113">
        <v>1.06</v>
      </c>
    </row>
    <row r="108" spans="11:11" x14ac:dyDescent="0.3">
      <c r="K108" s="113">
        <v>1.07</v>
      </c>
    </row>
    <row r="109" spans="11:11" x14ac:dyDescent="0.3">
      <c r="K109" s="113">
        <v>1.08</v>
      </c>
    </row>
    <row r="110" spans="11:11" x14ac:dyDescent="0.3">
      <c r="K110" s="113">
        <v>1.0900000000000001</v>
      </c>
    </row>
    <row r="111" spans="11:11" x14ac:dyDescent="0.3">
      <c r="K111" s="113">
        <v>1.1000000000000001</v>
      </c>
    </row>
    <row r="112" spans="11:11" x14ac:dyDescent="0.3">
      <c r="K112" s="113">
        <v>1.1100000000000001</v>
      </c>
    </row>
    <row r="113" spans="11:11" x14ac:dyDescent="0.3">
      <c r="K113" s="113">
        <v>1.1200000000000001</v>
      </c>
    </row>
    <row r="114" spans="11:11" x14ac:dyDescent="0.3">
      <c r="K114" s="113">
        <v>1.1299999999999999</v>
      </c>
    </row>
    <row r="115" spans="11:11" x14ac:dyDescent="0.3">
      <c r="K115" s="113">
        <v>1.1399999999999999</v>
      </c>
    </row>
    <row r="116" spans="11:11" x14ac:dyDescent="0.3">
      <c r="K116" s="113">
        <v>1.1499999999999999</v>
      </c>
    </row>
    <row r="117" spans="11:11" x14ac:dyDescent="0.3">
      <c r="K117" s="113">
        <v>1.1599999999999999</v>
      </c>
    </row>
    <row r="118" spans="11:11" x14ac:dyDescent="0.3">
      <c r="K118" s="113">
        <v>1.17</v>
      </c>
    </row>
    <row r="119" spans="11:11" x14ac:dyDescent="0.3">
      <c r="K119" s="113">
        <v>1.18</v>
      </c>
    </row>
    <row r="120" spans="11:11" x14ac:dyDescent="0.3">
      <c r="K120" s="113">
        <v>1.19</v>
      </c>
    </row>
    <row r="121" spans="11:11" x14ac:dyDescent="0.3">
      <c r="K121" s="113">
        <v>1.2</v>
      </c>
    </row>
    <row r="122" spans="11:11" x14ac:dyDescent="0.3">
      <c r="K122" s="113">
        <v>1.21</v>
      </c>
    </row>
    <row r="123" spans="11:11" x14ac:dyDescent="0.3">
      <c r="K123" s="113">
        <v>1.22</v>
      </c>
    </row>
    <row r="124" spans="11:11" x14ac:dyDescent="0.3">
      <c r="K124" s="113">
        <v>1.23</v>
      </c>
    </row>
    <row r="125" spans="11:11" x14ac:dyDescent="0.3">
      <c r="K125" s="113">
        <v>1.24</v>
      </c>
    </row>
    <row r="126" spans="11:11" x14ac:dyDescent="0.3">
      <c r="K126" s="113">
        <v>1.25</v>
      </c>
    </row>
    <row r="127" spans="11:11" x14ac:dyDescent="0.3">
      <c r="K127" s="113">
        <v>1.26</v>
      </c>
    </row>
    <row r="128" spans="11:11" x14ac:dyDescent="0.3">
      <c r="K128" s="113">
        <v>1.27</v>
      </c>
    </row>
    <row r="129" spans="11:11" x14ac:dyDescent="0.3">
      <c r="K129" s="113">
        <v>1.28</v>
      </c>
    </row>
    <row r="130" spans="11:11" x14ac:dyDescent="0.3">
      <c r="K130" s="113">
        <v>1.29</v>
      </c>
    </row>
    <row r="131" spans="11:11" x14ac:dyDescent="0.3">
      <c r="K131" s="113">
        <v>1.3</v>
      </c>
    </row>
    <row r="132" spans="11:11" x14ac:dyDescent="0.3">
      <c r="K132" s="113">
        <v>1.31</v>
      </c>
    </row>
    <row r="133" spans="11:11" x14ac:dyDescent="0.3">
      <c r="K133" s="113">
        <v>1.32</v>
      </c>
    </row>
    <row r="134" spans="11:11" x14ac:dyDescent="0.3">
      <c r="K134" s="113">
        <v>1.33</v>
      </c>
    </row>
    <row r="135" spans="11:11" x14ac:dyDescent="0.3">
      <c r="K135" s="113">
        <v>1.34</v>
      </c>
    </row>
    <row r="136" spans="11:11" x14ac:dyDescent="0.3">
      <c r="K136" s="113">
        <v>1.35</v>
      </c>
    </row>
    <row r="137" spans="11:11" x14ac:dyDescent="0.3">
      <c r="K137" s="113">
        <v>1.36</v>
      </c>
    </row>
    <row r="138" spans="11:11" x14ac:dyDescent="0.3">
      <c r="K138" s="113">
        <v>1.37</v>
      </c>
    </row>
    <row r="139" spans="11:11" x14ac:dyDescent="0.3">
      <c r="K139" s="113">
        <v>1.38</v>
      </c>
    </row>
    <row r="140" spans="11:11" x14ac:dyDescent="0.3">
      <c r="K140" s="113">
        <v>1.39</v>
      </c>
    </row>
    <row r="141" spans="11:11" x14ac:dyDescent="0.3">
      <c r="K141" s="113">
        <v>1.4</v>
      </c>
    </row>
    <row r="142" spans="11:11" x14ac:dyDescent="0.3">
      <c r="K142" s="113">
        <v>1.41</v>
      </c>
    </row>
    <row r="143" spans="11:11" x14ac:dyDescent="0.3">
      <c r="K143" s="113">
        <v>1.42</v>
      </c>
    </row>
    <row r="144" spans="11:11" x14ac:dyDescent="0.3">
      <c r="K144" s="113">
        <v>1.43</v>
      </c>
    </row>
    <row r="145" spans="11:11" x14ac:dyDescent="0.3">
      <c r="K145" s="113">
        <v>1.44</v>
      </c>
    </row>
    <row r="146" spans="11:11" x14ac:dyDescent="0.3">
      <c r="K146" s="113">
        <v>1.45</v>
      </c>
    </row>
    <row r="147" spans="11:11" x14ac:dyDescent="0.3">
      <c r="K147" s="113">
        <v>1.46</v>
      </c>
    </row>
    <row r="148" spans="11:11" x14ac:dyDescent="0.3">
      <c r="K148" s="113">
        <v>1.47</v>
      </c>
    </row>
    <row r="149" spans="11:11" x14ac:dyDescent="0.3">
      <c r="K149" s="113">
        <v>1.48</v>
      </c>
    </row>
    <row r="150" spans="11:11" x14ac:dyDescent="0.3">
      <c r="K150" s="113">
        <v>1.49</v>
      </c>
    </row>
    <row r="151" spans="11:11" x14ac:dyDescent="0.3">
      <c r="K151" s="113">
        <v>1.5</v>
      </c>
    </row>
    <row r="152" spans="11:11" x14ac:dyDescent="0.3">
      <c r="K152" s="113">
        <v>1.51</v>
      </c>
    </row>
    <row r="153" spans="11:11" x14ac:dyDescent="0.3">
      <c r="K153" s="113">
        <v>1.52</v>
      </c>
    </row>
    <row r="154" spans="11:11" x14ac:dyDescent="0.3">
      <c r="K154" s="113">
        <v>1.53</v>
      </c>
    </row>
    <row r="155" spans="11:11" x14ac:dyDescent="0.3">
      <c r="K155" s="113">
        <v>1.54</v>
      </c>
    </row>
    <row r="156" spans="11:11" x14ac:dyDescent="0.3">
      <c r="K156" s="113">
        <v>1.55</v>
      </c>
    </row>
    <row r="157" spans="11:11" x14ac:dyDescent="0.3">
      <c r="K157" s="113">
        <v>1.56</v>
      </c>
    </row>
    <row r="158" spans="11:11" x14ac:dyDescent="0.3">
      <c r="K158" s="113">
        <v>1.57</v>
      </c>
    </row>
    <row r="159" spans="11:11" x14ac:dyDescent="0.3">
      <c r="K159" s="113">
        <v>1.58</v>
      </c>
    </row>
    <row r="160" spans="11:11" x14ac:dyDescent="0.3">
      <c r="K160" s="113">
        <v>1.59</v>
      </c>
    </row>
    <row r="161" spans="11:11" x14ac:dyDescent="0.3">
      <c r="K161" s="113">
        <v>1.6</v>
      </c>
    </row>
    <row r="162" spans="11:11" x14ac:dyDescent="0.3">
      <c r="K162" s="113">
        <v>1.61</v>
      </c>
    </row>
    <row r="163" spans="11:11" x14ac:dyDescent="0.3">
      <c r="K163" s="113">
        <v>1.62</v>
      </c>
    </row>
    <row r="164" spans="11:11" x14ac:dyDescent="0.3">
      <c r="K164" s="113">
        <v>1.63</v>
      </c>
    </row>
    <row r="165" spans="11:11" x14ac:dyDescent="0.3">
      <c r="K165" s="113">
        <v>1.64</v>
      </c>
    </row>
    <row r="166" spans="11:11" x14ac:dyDescent="0.3">
      <c r="K166" s="113">
        <v>1.65</v>
      </c>
    </row>
    <row r="167" spans="11:11" x14ac:dyDescent="0.3">
      <c r="K167" s="113">
        <v>1.66</v>
      </c>
    </row>
    <row r="168" spans="11:11" x14ac:dyDescent="0.3">
      <c r="K168" s="113">
        <v>1.67</v>
      </c>
    </row>
    <row r="169" spans="11:11" x14ac:dyDescent="0.3">
      <c r="K169" s="113">
        <v>1.68</v>
      </c>
    </row>
    <row r="170" spans="11:11" x14ac:dyDescent="0.3">
      <c r="K170" s="113">
        <v>1.69</v>
      </c>
    </row>
    <row r="171" spans="11:11" x14ac:dyDescent="0.3">
      <c r="K171" s="113">
        <v>1.7</v>
      </c>
    </row>
    <row r="172" spans="11:11" x14ac:dyDescent="0.3">
      <c r="K172" s="113">
        <v>1.71</v>
      </c>
    </row>
    <row r="173" spans="11:11" x14ac:dyDescent="0.3">
      <c r="K173" s="113">
        <v>1.72</v>
      </c>
    </row>
    <row r="174" spans="11:11" x14ac:dyDescent="0.3">
      <c r="K174" s="113">
        <v>1.73</v>
      </c>
    </row>
    <row r="175" spans="11:11" x14ac:dyDescent="0.3">
      <c r="K175" s="113">
        <v>1.74</v>
      </c>
    </row>
    <row r="176" spans="11:11" x14ac:dyDescent="0.3">
      <c r="K176" s="113">
        <v>1.75</v>
      </c>
    </row>
    <row r="177" spans="11:11" x14ac:dyDescent="0.3">
      <c r="K177" s="113">
        <v>1.76</v>
      </c>
    </row>
    <row r="178" spans="11:11" x14ac:dyDescent="0.3">
      <c r="K178" s="113">
        <v>1.77</v>
      </c>
    </row>
    <row r="179" spans="11:11" x14ac:dyDescent="0.3">
      <c r="K179" s="113">
        <v>1.78</v>
      </c>
    </row>
    <row r="180" spans="11:11" x14ac:dyDescent="0.3">
      <c r="K180" s="113">
        <v>1.79</v>
      </c>
    </row>
    <row r="181" spans="11:11" x14ac:dyDescent="0.3">
      <c r="K181" s="113">
        <v>1.8</v>
      </c>
    </row>
    <row r="182" spans="11:11" x14ac:dyDescent="0.3">
      <c r="K182" s="113">
        <v>1.81</v>
      </c>
    </row>
    <row r="183" spans="11:11" x14ac:dyDescent="0.3">
      <c r="K183" s="113">
        <v>1.82</v>
      </c>
    </row>
    <row r="184" spans="11:11" x14ac:dyDescent="0.3">
      <c r="K184" s="113">
        <v>1.83</v>
      </c>
    </row>
    <row r="185" spans="11:11" x14ac:dyDescent="0.3">
      <c r="K185" s="113">
        <v>1.84</v>
      </c>
    </row>
    <row r="186" spans="11:11" x14ac:dyDescent="0.3">
      <c r="K186" s="113">
        <v>1.85</v>
      </c>
    </row>
    <row r="187" spans="11:11" x14ac:dyDescent="0.3">
      <c r="K187" s="113">
        <v>1.86</v>
      </c>
    </row>
    <row r="188" spans="11:11" x14ac:dyDescent="0.3">
      <c r="K188" s="113">
        <v>1.87</v>
      </c>
    </row>
    <row r="189" spans="11:11" x14ac:dyDescent="0.3">
      <c r="K189" s="113">
        <v>1.88</v>
      </c>
    </row>
    <row r="190" spans="11:11" x14ac:dyDescent="0.3">
      <c r="K190" s="113">
        <v>1.89</v>
      </c>
    </row>
    <row r="191" spans="11:11" x14ac:dyDescent="0.3">
      <c r="K191" s="113">
        <v>1.9</v>
      </c>
    </row>
    <row r="192" spans="11:11" x14ac:dyDescent="0.3">
      <c r="K192" s="113">
        <v>1.91</v>
      </c>
    </row>
    <row r="193" spans="11:11" x14ac:dyDescent="0.3">
      <c r="K193" s="113">
        <v>1.92</v>
      </c>
    </row>
    <row r="194" spans="11:11" x14ac:dyDescent="0.3">
      <c r="K194" s="113">
        <v>1.93</v>
      </c>
    </row>
    <row r="195" spans="11:11" x14ac:dyDescent="0.3">
      <c r="K195" s="113">
        <v>1.94</v>
      </c>
    </row>
    <row r="196" spans="11:11" x14ac:dyDescent="0.3">
      <c r="K196" s="113">
        <v>1.95</v>
      </c>
    </row>
    <row r="197" spans="11:11" x14ac:dyDescent="0.3">
      <c r="K197" s="113">
        <v>1.96</v>
      </c>
    </row>
    <row r="198" spans="11:11" x14ac:dyDescent="0.3">
      <c r="K198" s="113">
        <v>1.97</v>
      </c>
    </row>
    <row r="199" spans="11:11" x14ac:dyDescent="0.3">
      <c r="K199" s="113">
        <v>1.98</v>
      </c>
    </row>
    <row r="200" spans="11:11" x14ac:dyDescent="0.3">
      <c r="K200" s="113">
        <v>1.99</v>
      </c>
    </row>
    <row r="201" spans="11:11" x14ac:dyDescent="0.3">
      <c r="K201" s="113">
        <v>2</v>
      </c>
    </row>
    <row r="202" spans="11:11" x14ac:dyDescent="0.3">
      <c r="K202" s="113">
        <v>2.0099999999999998</v>
      </c>
    </row>
    <row r="203" spans="11:11" x14ac:dyDescent="0.3">
      <c r="K203" s="113">
        <v>2.02</v>
      </c>
    </row>
    <row r="204" spans="11:11" x14ac:dyDescent="0.3">
      <c r="K204" s="113">
        <v>2.0299999999999998</v>
      </c>
    </row>
    <row r="205" spans="11:11" x14ac:dyDescent="0.3">
      <c r="K205" s="113">
        <v>2.04</v>
      </c>
    </row>
    <row r="206" spans="11:11" x14ac:dyDescent="0.3">
      <c r="K206" s="113">
        <v>2.0499999999999998</v>
      </c>
    </row>
    <row r="207" spans="11:11" x14ac:dyDescent="0.3">
      <c r="K207" s="113">
        <v>2.06</v>
      </c>
    </row>
    <row r="208" spans="11:11" x14ac:dyDescent="0.3">
      <c r="K208" s="113">
        <v>2.0699999999999998</v>
      </c>
    </row>
    <row r="209" spans="11:11" x14ac:dyDescent="0.3">
      <c r="K209" s="113">
        <v>2.08</v>
      </c>
    </row>
    <row r="210" spans="11:11" x14ac:dyDescent="0.3">
      <c r="K210" s="113">
        <v>2.09</v>
      </c>
    </row>
    <row r="211" spans="11:11" x14ac:dyDescent="0.3">
      <c r="K211" s="113">
        <v>2.1</v>
      </c>
    </row>
    <row r="212" spans="11:11" x14ac:dyDescent="0.3">
      <c r="K212" s="113">
        <v>2.11</v>
      </c>
    </row>
    <row r="213" spans="11:11" x14ac:dyDescent="0.3">
      <c r="K213" s="113">
        <v>2.12</v>
      </c>
    </row>
    <row r="214" spans="11:11" x14ac:dyDescent="0.3">
      <c r="K214" s="113">
        <v>2.13</v>
      </c>
    </row>
    <row r="215" spans="11:11" x14ac:dyDescent="0.3">
      <c r="K215" s="113">
        <v>2.14</v>
      </c>
    </row>
    <row r="216" spans="11:11" x14ac:dyDescent="0.3">
      <c r="K216" s="113">
        <v>2.15</v>
      </c>
    </row>
    <row r="217" spans="11:11" x14ac:dyDescent="0.3">
      <c r="K217" s="113">
        <v>2.16</v>
      </c>
    </row>
    <row r="218" spans="11:11" x14ac:dyDescent="0.3">
      <c r="K218" s="113">
        <v>2.17</v>
      </c>
    </row>
    <row r="219" spans="11:11" x14ac:dyDescent="0.3">
      <c r="K219" s="113">
        <v>2.1800000000000002</v>
      </c>
    </row>
    <row r="220" spans="11:11" x14ac:dyDescent="0.3">
      <c r="K220" s="113">
        <v>2.19</v>
      </c>
    </row>
    <row r="221" spans="11:11" x14ac:dyDescent="0.3">
      <c r="K221" s="113">
        <v>2.2000000000000002</v>
      </c>
    </row>
    <row r="222" spans="11:11" x14ac:dyDescent="0.3">
      <c r="K222" s="113">
        <v>2.21</v>
      </c>
    </row>
    <row r="223" spans="11:11" x14ac:dyDescent="0.3">
      <c r="K223" s="113">
        <v>2.2200000000000002</v>
      </c>
    </row>
    <row r="224" spans="11:11" x14ac:dyDescent="0.3">
      <c r="K224" s="113">
        <v>2.23</v>
      </c>
    </row>
    <row r="225" spans="11:11" x14ac:dyDescent="0.3">
      <c r="K225" s="113">
        <v>2.2400000000000002</v>
      </c>
    </row>
    <row r="226" spans="11:11" x14ac:dyDescent="0.3">
      <c r="K226" s="113">
        <v>2.25</v>
      </c>
    </row>
    <row r="227" spans="11:11" x14ac:dyDescent="0.3">
      <c r="K227" s="113">
        <v>2.2599999999999998</v>
      </c>
    </row>
    <row r="228" spans="11:11" x14ac:dyDescent="0.3">
      <c r="K228" s="113">
        <v>2.27</v>
      </c>
    </row>
    <row r="229" spans="11:11" x14ac:dyDescent="0.3">
      <c r="K229" s="113">
        <v>2.2799999999999998</v>
      </c>
    </row>
    <row r="230" spans="11:11" x14ac:dyDescent="0.3">
      <c r="K230" s="113">
        <v>2.29</v>
      </c>
    </row>
    <row r="231" spans="11:11" x14ac:dyDescent="0.3">
      <c r="K231" s="113">
        <v>2.2999999999999998</v>
      </c>
    </row>
    <row r="232" spans="11:11" x14ac:dyDescent="0.3">
      <c r="K232" s="113">
        <v>2.31</v>
      </c>
    </row>
    <row r="233" spans="11:11" x14ac:dyDescent="0.3">
      <c r="K233" s="113">
        <v>2.3199999999999998</v>
      </c>
    </row>
    <row r="234" spans="11:11" x14ac:dyDescent="0.3">
      <c r="K234" s="113">
        <v>2.33</v>
      </c>
    </row>
    <row r="235" spans="11:11" x14ac:dyDescent="0.3">
      <c r="K235" s="113">
        <v>2.34</v>
      </c>
    </row>
    <row r="236" spans="11:11" x14ac:dyDescent="0.3">
      <c r="K236" s="113">
        <v>2.35</v>
      </c>
    </row>
    <row r="237" spans="11:11" x14ac:dyDescent="0.3">
      <c r="K237" s="113">
        <v>2.36</v>
      </c>
    </row>
    <row r="238" spans="11:11" x14ac:dyDescent="0.3">
      <c r="K238" s="113">
        <v>2.37</v>
      </c>
    </row>
    <row r="239" spans="11:11" x14ac:dyDescent="0.3">
      <c r="K239" s="113">
        <v>2.38</v>
      </c>
    </row>
    <row r="240" spans="11:11" x14ac:dyDescent="0.3">
      <c r="K240" s="113">
        <v>2.39</v>
      </c>
    </row>
    <row r="241" spans="11:11" x14ac:dyDescent="0.3">
      <c r="K241" s="113">
        <v>2.4</v>
      </c>
    </row>
    <row r="242" spans="11:11" x14ac:dyDescent="0.3">
      <c r="K242" s="113">
        <v>2.41</v>
      </c>
    </row>
    <row r="243" spans="11:11" x14ac:dyDescent="0.3">
      <c r="K243" s="113">
        <v>2.42</v>
      </c>
    </row>
    <row r="244" spans="11:11" x14ac:dyDescent="0.3">
      <c r="K244" s="113">
        <v>2.4300000000000002</v>
      </c>
    </row>
    <row r="245" spans="11:11" x14ac:dyDescent="0.3">
      <c r="K245" s="113">
        <v>2.44</v>
      </c>
    </row>
    <row r="246" spans="11:11" x14ac:dyDescent="0.3">
      <c r="K246" s="113">
        <v>2.4500000000000002</v>
      </c>
    </row>
    <row r="247" spans="11:11" x14ac:dyDescent="0.3">
      <c r="K247" s="113">
        <v>2.46</v>
      </c>
    </row>
    <row r="248" spans="11:11" x14ac:dyDescent="0.3">
      <c r="K248" s="113">
        <v>2.4700000000000002</v>
      </c>
    </row>
    <row r="249" spans="11:11" x14ac:dyDescent="0.3">
      <c r="K249" s="113">
        <v>2.48</v>
      </c>
    </row>
    <row r="250" spans="11:11" x14ac:dyDescent="0.3">
      <c r="K250" s="113">
        <v>2.4900000000000002</v>
      </c>
    </row>
    <row r="251" spans="11:11" x14ac:dyDescent="0.3">
      <c r="K251" s="113">
        <v>2.5</v>
      </c>
    </row>
    <row r="252" spans="11:11" x14ac:dyDescent="0.3">
      <c r="K252" s="113">
        <v>2.5099999999999998</v>
      </c>
    </row>
    <row r="253" spans="11:11" x14ac:dyDescent="0.3">
      <c r="K253" s="113">
        <v>2.52</v>
      </c>
    </row>
    <row r="254" spans="11:11" x14ac:dyDescent="0.3">
      <c r="K254" s="113">
        <v>2.5299999999999998</v>
      </c>
    </row>
    <row r="255" spans="11:11" x14ac:dyDescent="0.3">
      <c r="K255" s="113">
        <v>2.54</v>
      </c>
    </row>
    <row r="256" spans="11:11" x14ac:dyDescent="0.3">
      <c r="K256" s="113">
        <v>2.5499999999999998</v>
      </c>
    </row>
    <row r="257" spans="11:11" x14ac:dyDescent="0.3">
      <c r="K257" s="113">
        <v>2.56</v>
      </c>
    </row>
    <row r="258" spans="11:11" x14ac:dyDescent="0.3">
      <c r="K258" s="113">
        <v>2.57</v>
      </c>
    </row>
    <row r="259" spans="11:11" x14ac:dyDescent="0.3">
      <c r="K259" s="113">
        <v>2.58</v>
      </c>
    </row>
    <row r="260" spans="11:11" x14ac:dyDescent="0.3">
      <c r="K260" s="113">
        <v>2.59</v>
      </c>
    </row>
    <row r="261" spans="11:11" x14ac:dyDescent="0.3">
      <c r="K261" s="113">
        <v>2.6</v>
      </c>
    </row>
    <row r="262" spans="11:11" x14ac:dyDescent="0.3">
      <c r="K262" s="113">
        <v>2.61</v>
      </c>
    </row>
    <row r="263" spans="11:11" x14ac:dyDescent="0.3">
      <c r="K263" s="113">
        <v>2.62</v>
      </c>
    </row>
    <row r="264" spans="11:11" x14ac:dyDescent="0.3">
      <c r="K264" s="113">
        <v>2.63</v>
      </c>
    </row>
    <row r="265" spans="11:11" x14ac:dyDescent="0.3">
      <c r="K265" s="113">
        <v>2.64</v>
      </c>
    </row>
    <row r="266" spans="11:11" x14ac:dyDescent="0.3">
      <c r="K266" s="113">
        <v>2.65</v>
      </c>
    </row>
    <row r="267" spans="11:11" x14ac:dyDescent="0.3">
      <c r="K267" s="113">
        <v>2.66</v>
      </c>
    </row>
    <row r="268" spans="11:11" x14ac:dyDescent="0.3">
      <c r="K268" s="113">
        <v>2.67</v>
      </c>
    </row>
    <row r="269" spans="11:11" x14ac:dyDescent="0.3">
      <c r="K269" s="113">
        <v>2.68</v>
      </c>
    </row>
    <row r="270" spans="11:11" x14ac:dyDescent="0.3">
      <c r="K270" s="113">
        <v>2.69</v>
      </c>
    </row>
    <row r="271" spans="11:11" x14ac:dyDescent="0.3">
      <c r="K271" s="113">
        <v>2.7</v>
      </c>
    </row>
    <row r="272" spans="11:11" x14ac:dyDescent="0.3">
      <c r="K272" s="113">
        <v>2.71</v>
      </c>
    </row>
    <row r="273" spans="11:11" x14ac:dyDescent="0.3">
      <c r="K273" s="113">
        <v>2.72</v>
      </c>
    </row>
    <row r="274" spans="11:11" x14ac:dyDescent="0.3">
      <c r="K274" s="113">
        <v>2.73</v>
      </c>
    </row>
    <row r="275" spans="11:11" x14ac:dyDescent="0.3">
      <c r="K275" s="113">
        <v>2.74</v>
      </c>
    </row>
    <row r="276" spans="11:11" x14ac:dyDescent="0.3">
      <c r="K276" s="113">
        <v>2.75</v>
      </c>
    </row>
    <row r="277" spans="11:11" x14ac:dyDescent="0.3">
      <c r="K277" s="113">
        <v>2.76</v>
      </c>
    </row>
    <row r="278" spans="11:11" x14ac:dyDescent="0.3">
      <c r="K278" s="113">
        <v>2.77</v>
      </c>
    </row>
    <row r="279" spans="11:11" x14ac:dyDescent="0.3">
      <c r="K279" s="113">
        <v>2.78</v>
      </c>
    </row>
    <row r="280" spans="11:11" x14ac:dyDescent="0.3">
      <c r="K280" s="113">
        <v>2.79</v>
      </c>
    </row>
    <row r="281" spans="11:11" x14ac:dyDescent="0.3">
      <c r="K281" s="113">
        <v>2.8</v>
      </c>
    </row>
    <row r="282" spans="11:11" x14ac:dyDescent="0.3">
      <c r="K282" s="113">
        <v>2.81</v>
      </c>
    </row>
    <row r="283" spans="11:11" x14ac:dyDescent="0.3">
      <c r="K283" s="113">
        <v>2.82</v>
      </c>
    </row>
    <row r="284" spans="11:11" x14ac:dyDescent="0.3">
      <c r="K284" s="113">
        <v>2.83</v>
      </c>
    </row>
    <row r="285" spans="11:11" x14ac:dyDescent="0.3">
      <c r="K285" s="113">
        <v>2.84</v>
      </c>
    </row>
    <row r="286" spans="11:11" x14ac:dyDescent="0.3">
      <c r="K286" s="113">
        <v>2.85</v>
      </c>
    </row>
    <row r="287" spans="11:11" x14ac:dyDescent="0.3">
      <c r="K287" s="113">
        <v>2.86</v>
      </c>
    </row>
    <row r="288" spans="11:11" x14ac:dyDescent="0.3">
      <c r="K288" s="113">
        <v>2.87</v>
      </c>
    </row>
    <row r="289" spans="11:11" x14ac:dyDescent="0.3">
      <c r="K289" s="113">
        <v>2.88</v>
      </c>
    </row>
    <row r="290" spans="11:11" x14ac:dyDescent="0.3">
      <c r="K290" s="113">
        <v>2.89</v>
      </c>
    </row>
    <row r="291" spans="11:11" x14ac:dyDescent="0.3">
      <c r="K291" s="113">
        <v>2.9</v>
      </c>
    </row>
    <row r="292" spans="11:11" x14ac:dyDescent="0.3">
      <c r="K292" s="113">
        <v>2.91</v>
      </c>
    </row>
    <row r="293" spans="11:11" x14ac:dyDescent="0.3">
      <c r="K293" s="113">
        <v>2.92</v>
      </c>
    </row>
    <row r="294" spans="11:11" x14ac:dyDescent="0.3">
      <c r="K294" s="113">
        <v>2.93</v>
      </c>
    </row>
    <row r="295" spans="11:11" x14ac:dyDescent="0.3">
      <c r="K295" s="113">
        <v>2.94</v>
      </c>
    </row>
    <row r="296" spans="11:11" x14ac:dyDescent="0.3">
      <c r="K296" s="113">
        <v>2.95</v>
      </c>
    </row>
    <row r="297" spans="11:11" x14ac:dyDescent="0.3">
      <c r="K297" s="113">
        <v>2.96</v>
      </c>
    </row>
    <row r="298" spans="11:11" x14ac:dyDescent="0.3">
      <c r="K298" s="113">
        <v>2.97</v>
      </c>
    </row>
    <row r="299" spans="11:11" x14ac:dyDescent="0.3">
      <c r="K299" s="113">
        <v>2.98</v>
      </c>
    </row>
    <row r="300" spans="11:11" x14ac:dyDescent="0.3">
      <c r="K300" s="113">
        <v>2.99</v>
      </c>
    </row>
    <row r="301" spans="11:11" x14ac:dyDescent="0.3">
      <c r="K301" s="113">
        <v>3</v>
      </c>
    </row>
    <row r="302" spans="11:11" x14ac:dyDescent="0.3">
      <c r="K302" s="113">
        <v>3.01</v>
      </c>
    </row>
    <row r="303" spans="11:11" x14ac:dyDescent="0.3">
      <c r="K303" s="113">
        <v>3.02</v>
      </c>
    </row>
    <row r="304" spans="11:11" x14ac:dyDescent="0.3">
      <c r="K304" s="113">
        <v>3.03</v>
      </c>
    </row>
    <row r="305" spans="11:11" x14ac:dyDescent="0.3">
      <c r="K305" s="113">
        <v>3.04</v>
      </c>
    </row>
    <row r="306" spans="11:11" x14ac:dyDescent="0.3">
      <c r="K306" s="113">
        <v>3.05</v>
      </c>
    </row>
    <row r="307" spans="11:11" x14ac:dyDescent="0.3">
      <c r="K307" s="113">
        <v>3.06</v>
      </c>
    </row>
    <row r="308" spans="11:11" x14ac:dyDescent="0.3">
      <c r="K308" s="113">
        <v>3.07</v>
      </c>
    </row>
    <row r="309" spans="11:11" x14ac:dyDescent="0.3">
      <c r="K309" s="113">
        <v>3.08</v>
      </c>
    </row>
    <row r="310" spans="11:11" x14ac:dyDescent="0.3">
      <c r="K310" s="113">
        <v>3.09</v>
      </c>
    </row>
    <row r="311" spans="11:11" x14ac:dyDescent="0.3">
      <c r="K311" s="113">
        <v>3.1</v>
      </c>
    </row>
    <row r="312" spans="11:11" x14ac:dyDescent="0.3">
      <c r="K312" s="113">
        <v>3.11</v>
      </c>
    </row>
    <row r="313" spans="11:11" x14ac:dyDescent="0.3">
      <c r="K313" s="113">
        <v>3.12</v>
      </c>
    </row>
    <row r="314" spans="11:11" x14ac:dyDescent="0.3">
      <c r="K314" s="113">
        <v>3.13</v>
      </c>
    </row>
    <row r="315" spans="11:11" x14ac:dyDescent="0.3">
      <c r="K315" s="113">
        <v>3.14</v>
      </c>
    </row>
    <row r="316" spans="11:11" x14ac:dyDescent="0.3">
      <c r="K316" s="113">
        <v>3.15</v>
      </c>
    </row>
    <row r="317" spans="11:11" x14ac:dyDescent="0.3">
      <c r="K317" s="113">
        <v>3.16</v>
      </c>
    </row>
    <row r="318" spans="11:11" x14ac:dyDescent="0.3">
      <c r="K318" s="113">
        <v>3.17</v>
      </c>
    </row>
    <row r="319" spans="11:11" x14ac:dyDescent="0.3">
      <c r="K319" s="113">
        <v>3.18</v>
      </c>
    </row>
    <row r="320" spans="11:11" x14ac:dyDescent="0.3">
      <c r="K320" s="113">
        <v>3.19</v>
      </c>
    </row>
    <row r="321" spans="11:11" x14ac:dyDescent="0.3">
      <c r="K321" s="113">
        <v>3.2</v>
      </c>
    </row>
    <row r="322" spans="11:11" x14ac:dyDescent="0.3">
      <c r="K322" s="113">
        <v>3.21</v>
      </c>
    </row>
    <row r="323" spans="11:11" x14ac:dyDescent="0.3">
      <c r="K323" s="113">
        <v>3.22</v>
      </c>
    </row>
    <row r="324" spans="11:11" x14ac:dyDescent="0.3">
      <c r="K324" s="113">
        <v>3.23</v>
      </c>
    </row>
    <row r="325" spans="11:11" x14ac:dyDescent="0.3">
      <c r="K325" s="113">
        <v>3.24</v>
      </c>
    </row>
    <row r="326" spans="11:11" x14ac:dyDescent="0.3">
      <c r="K326" s="113">
        <v>3.25</v>
      </c>
    </row>
    <row r="327" spans="11:11" x14ac:dyDescent="0.3">
      <c r="K327" s="113">
        <v>3.26</v>
      </c>
    </row>
    <row r="328" spans="11:11" x14ac:dyDescent="0.3">
      <c r="K328" s="113">
        <v>3.27</v>
      </c>
    </row>
    <row r="329" spans="11:11" x14ac:dyDescent="0.3">
      <c r="K329" s="113">
        <v>3.28</v>
      </c>
    </row>
    <row r="330" spans="11:11" x14ac:dyDescent="0.3">
      <c r="K330" s="113">
        <v>3.29</v>
      </c>
    </row>
    <row r="331" spans="11:11" x14ac:dyDescent="0.3">
      <c r="K331" s="113">
        <v>3.3</v>
      </c>
    </row>
    <row r="332" spans="11:11" x14ac:dyDescent="0.3">
      <c r="K332" s="113">
        <v>3.31</v>
      </c>
    </row>
    <row r="333" spans="11:11" x14ac:dyDescent="0.3">
      <c r="K333" s="113">
        <v>3.32</v>
      </c>
    </row>
    <row r="334" spans="11:11" x14ac:dyDescent="0.3">
      <c r="K334" s="113">
        <v>3.33</v>
      </c>
    </row>
    <row r="335" spans="11:11" x14ac:dyDescent="0.3">
      <c r="K335" s="113">
        <v>3.34</v>
      </c>
    </row>
    <row r="336" spans="11:11" x14ac:dyDescent="0.3">
      <c r="K336" s="113">
        <v>3.35</v>
      </c>
    </row>
    <row r="337" spans="11:11" x14ac:dyDescent="0.3">
      <c r="K337" s="113">
        <v>3.36</v>
      </c>
    </row>
    <row r="338" spans="11:11" x14ac:dyDescent="0.3">
      <c r="K338" s="113">
        <v>3.37</v>
      </c>
    </row>
    <row r="339" spans="11:11" x14ac:dyDescent="0.3">
      <c r="K339" s="113">
        <v>3.38</v>
      </c>
    </row>
    <row r="340" spans="11:11" x14ac:dyDescent="0.3">
      <c r="K340" s="113">
        <v>3.39</v>
      </c>
    </row>
    <row r="341" spans="11:11" x14ac:dyDescent="0.3">
      <c r="K341" s="113">
        <v>3.4</v>
      </c>
    </row>
    <row r="342" spans="11:11" x14ac:dyDescent="0.3">
      <c r="K342" s="113">
        <v>3.41</v>
      </c>
    </row>
    <row r="343" spans="11:11" x14ac:dyDescent="0.3">
      <c r="K343" s="113">
        <v>3.42</v>
      </c>
    </row>
    <row r="344" spans="11:11" x14ac:dyDescent="0.3">
      <c r="K344" s="113">
        <v>3.43</v>
      </c>
    </row>
    <row r="345" spans="11:11" x14ac:dyDescent="0.3">
      <c r="K345" s="113">
        <v>3.44</v>
      </c>
    </row>
    <row r="346" spans="11:11" x14ac:dyDescent="0.3">
      <c r="K346" s="113">
        <v>3.45</v>
      </c>
    </row>
    <row r="347" spans="11:11" x14ac:dyDescent="0.3">
      <c r="K347" s="113">
        <v>3.46</v>
      </c>
    </row>
    <row r="348" spans="11:11" x14ac:dyDescent="0.3">
      <c r="K348" s="113">
        <v>3.47</v>
      </c>
    </row>
    <row r="349" spans="11:11" x14ac:dyDescent="0.3">
      <c r="K349" s="113">
        <v>3.48</v>
      </c>
    </row>
    <row r="350" spans="11:11" x14ac:dyDescent="0.3">
      <c r="K350" s="113">
        <v>3.49</v>
      </c>
    </row>
    <row r="351" spans="11:11" x14ac:dyDescent="0.3">
      <c r="K351" s="113">
        <v>3.5</v>
      </c>
    </row>
    <row r="352" spans="11:11" x14ac:dyDescent="0.3">
      <c r="K352" s="113">
        <v>3.51</v>
      </c>
    </row>
    <row r="353" spans="11:11" x14ac:dyDescent="0.3">
      <c r="K353" s="113">
        <v>3.52</v>
      </c>
    </row>
    <row r="354" spans="11:11" x14ac:dyDescent="0.3">
      <c r="K354" s="113">
        <v>3.53</v>
      </c>
    </row>
    <row r="355" spans="11:11" x14ac:dyDescent="0.3">
      <c r="K355" s="113">
        <v>3.54</v>
      </c>
    </row>
    <row r="356" spans="11:11" x14ac:dyDescent="0.3">
      <c r="K356" s="113">
        <v>3.55</v>
      </c>
    </row>
    <row r="357" spans="11:11" x14ac:dyDescent="0.3">
      <c r="K357" s="113">
        <v>3.56</v>
      </c>
    </row>
    <row r="358" spans="11:11" x14ac:dyDescent="0.3">
      <c r="K358" s="113">
        <v>3.57</v>
      </c>
    </row>
    <row r="359" spans="11:11" x14ac:dyDescent="0.3">
      <c r="K359" s="113">
        <v>3.58</v>
      </c>
    </row>
    <row r="360" spans="11:11" x14ac:dyDescent="0.3">
      <c r="K360" s="113">
        <v>3.59</v>
      </c>
    </row>
    <row r="361" spans="11:11" x14ac:dyDescent="0.3">
      <c r="K361" s="113">
        <v>3.6</v>
      </c>
    </row>
    <row r="362" spans="11:11" x14ac:dyDescent="0.3">
      <c r="K362" s="113">
        <v>3.61</v>
      </c>
    </row>
    <row r="363" spans="11:11" x14ac:dyDescent="0.3">
      <c r="K363" s="113">
        <v>3.62</v>
      </c>
    </row>
    <row r="364" spans="11:11" x14ac:dyDescent="0.3">
      <c r="K364" s="113">
        <v>3.63</v>
      </c>
    </row>
    <row r="365" spans="11:11" x14ac:dyDescent="0.3">
      <c r="K365" s="113">
        <v>3.64</v>
      </c>
    </row>
    <row r="366" spans="11:11" x14ac:dyDescent="0.3">
      <c r="K366" s="113">
        <v>3.65</v>
      </c>
    </row>
    <row r="367" spans="11:11" x14ac:dyDescent="0.3">
      <c r="K367" s="113">
        <v>3.66</v>
      </c>
    </row>
    <row r="368" spans="11:11" x14ac:dyDescent="0.3">
      <c r="K368" s="113">
        <v>3.67</v>
      </c>
    </row>
    <row r="369" spans="11:11" x14ac:dyDescent="0.3">
      <c r="K369" s="113">
        <v>3.68</v>
      </c>
    </row>
    <row r="370" spans="11:11" x14ac:dyDescent="0.3">
      <c r="K370" s="113">
        <v>3.69</v>
      </c>
    </row>
    <row r="371" spans="11:11" x14ac:dyDescent="0.3">
      <c r="K371" s="113">
        <v>3.7</v>
      </c>
    </row>
    <row r="372" spans="11:11" x14ac:dyDescent="0.3">
      <c r="K372" s="113">
        <v>3.71</v>
      </c>
    </row>
    <row r="373" spans="11:11" x14ac:dyDescent="0.3">
      <c r="K373" s="113">
        <v>3.72</v>
      </c>
    </row>
    <row r="374" spans="11:11" x14ac:dyDescent="0.3">
      <c r="K374" s="113">
        <v>3.73</v>
      </c>
    </row>
    <row r="375" spans="11:11" x14ac:dyDescent="0.3">
      <c r="K375" s="113">
        <v>3.74</v>
      </c>
    </row>
    <row r="376" spans="11:11" x14ac:dyDescent="0.3">
      <c r="K376" s="113">
        <v>3.75</v>
      </c>
    </row>
    <row r="377" spans="11:11" x14ac:dyDescent="0.3">
      <c r="K377" s="113">
        <v>3.76</v>
      </c>
    </row>
    <row r="378" spans="11:11" x14ac:dyDescent="0.3">
      <c r="K378" s="113">
        <v>3.77</v>
      </c>
    </row>
    <row r="379" spans="11:11" x14ac:dyDescent="0.3">
      <c r="K379" s="113">
        <v>3.78</v>
      </c>
    </row>
    <row r="380" spans="11:11" x14ac:dyDescent="0.3">
      <c r="K380" s="113">
        <v>3.79</v>
      </c>
    </row>
    <row r="381" spans="11:11" x14ac:dyDescent="0.3">
      <c r="K381" s="113">
        <v>3.8</v>
      </c>
    </row>
    <row r="382" spans="11:11" x14ac:dyDescent="0.3">
      <c r="K382" s="113">
        <v>3.81</v>
      </c>
    </row>
    <row r="383" spans="11:11" x14ac:dyDescent="0.3">
      <c r="K383" s="113">
        <v>3.82</v>
      </c>
    </row>
    <row r="384" spans="11:11" x14ac:dyDescent="0.3">
      <c r="K384" s="113">
        <v>3.83</v>
      </c>
    </row>
    <row r="385" spans="11:11" x14ac:dyDescent="0.3">
      <c r="K385" s="113">
        <v>3.84</v>
      </c>
    </row>
    <row r="386" spans="11:11" x14ac:dyDescent="0.3">
      <c r="K386" s="113">
        <v>3.85</v>
      </c>
    </row>
    <row r="387" spans="11:11" x14ac:dyDescent="0.3">
      <c r="K387" s="113">
        <v>3.86</v>
      </c>
    </row>
    <row r="388" spans="11:11" x14ac:dyDescent="0.3">
      <c r="K388" s="113">
        <v>3.87</v>
      </c>
    </row>
    <row r="389" spans="11:11" x14ac:dyDescent="0.3">
      <c r="K389" s="113">
        <v>3.88</v>
      </c>
    </row>
    <row r="390" spans="11:11" x14ac:dyDescent="0.3">
      <c r="K390" s="113">
        <v>3.89</v>
      </c>
    </row>
    <row r="391" spans="11:11" x14ac:dyDescent="0.3">
      <c r="K391" s="113">
        <v>3.9</v>
      </c>
    </row>
    <row r="392" spans="11:11" x14ac:dyDescent="0.3">
      <c r="K392" s="113">
        <v>3.91</v>
      </c>
    </row>
    <row r="393" spans="11:11" x14ac:dyDescent="0.3">
      <c r="K393" s="113">
        <v>3.92</v>
      </c>
    </row>
    <row r="394" spans="11:11" x14ac:dyDescent="0.3">
      <c r="K394" s="113">
        <v>3.93</v>
      </c>
    </row>
    <row r="395" spans="11:11" x14ac:dyDescent="0.3">
      <c r="K395" s="113">
        <v>3.94</v>
      </c>
    </row>
    <row r="396" spans="11:11" x14ac:dyDescent="0.3">
      <c r="K396" s="113">
        <v>3.95</v>
      </c>
    </row>
    <row r="397" spans="11:11" x14ac:dyDescent="0.3">
      <c r="K397" s="113">
        <v>3.96</v>
      </c>
    </row>
    <row r="398" spans="11:11" x14ac:dyDescent="0.3">
      <c r="K398" s="113">
        <v>3.97</v>
      </c>
    </row>
    <row r="399" spans="11:11" x14ac:dyDescent="0.3">
      <c r="K399" s="113">
        <v>3.98</v>
      </c>
    </row>
    <row r="400" spans="11:11" x14ac:dyDescent="0.3">
      <c r="K400" s="113">
        <v>3.99</v>
      </c>
    </row>
    <row r="401" spans="11:11" x14ac:dyDescent="0.3">
      <c r="K401" s="113">
        <v>4</v>
      </c>
    </row>
    <row r="402" spans="11:11" x14ac:dyDescent="0.3">
      <c r="K402" s="113">
        <v>4.01</v>
      </c>
    </row>
    <row r="403" spans="11:11" x14ac:dyDescent="0.3">
      <c r="K403" s="113">
        <v>4.0199999999999996</v>
      </c>
    </row>
    <row r="404" spans="11:11" x14ac:dyDescent="0.3">
      <c r="K404" s="113">
        <v>4.03</v>
      </c>
    </row>
    <row r="405" spans="11:11" x14ac:dyDescent="0.3">
      <c r="K405" s="113">
        <v>4.04</v>
      </c>
    </row>
    <row r="406" spans="11:11" x14ac:dyDescent="0.3">
      <c r="K406" s="113">
        <v>4.05</v>
      </c>
    </row>
    <row r="407" spans="11:11" x14ac:dyDescent="0.3">
      <c r="K407" s="113">
        <v>4.0599999999999996</v>
      </c>
    </row>
    <row r="408" spans="11:11" x14ac:dyDescent="0.3">
      <c r="K408" s="113">
        <v>4.07</v>
      </c>
    </row>
    <row r="409" spans="11:11" x14ac:dyDescent="0.3">
      <c r="K409" s="113">
        <v>4.08</v>
      </c>
    </row>
    <row r="410" spans="11:11" x14ac:dyDescent="0.3">
      <c r="K410" s="113">
        <v>4.09</v>
      </c>
    </row>
    <row r="411" spans="11:11" x14ac:dyDescent="0.3">
      <c r="K411" s="113">
        <v>4.0999999999999996</v>
      </c>
    </row>
    <row r="412" spans="11:11" x14ac:dyDescent="0.3">
      <c r="K412" s="113">
        <v>4.1100000000000003</v>
      </c>
    </row>
    <row r="413" spans="11:11" x14ac:dyDescent="0.3">
      <c r="K413" s="113">
        <v>4.12</v>
      </c>
    </row>
    <row r="414" spans="11:11" x14ac:dyDescent="0.3">
      <c r="K414" s="113">
        <v>4.13</v>
      </c>
    </row>
    <row r="415" spans="11:11" x14ac:dyDescent="0.3">
      <c r="K415" s="113">
        <v>4.1399999999999997</v>
      </c>
    </row>
    <row r="416" spans="11:11" x14ac:dyDescent="0.3">
      <c r="K416" s="113">
        <v>4.1500000000000004</v>
      </c>
    </row>
    <row r="417" spans="11:11" x14ac:dyDescent="0.3">
      <c r="K417" s="113">
        <v>4.16</v>
      </c>
    </row>
    <row r="418" spans="11:11" x14ac:dyDescent="0.3">
      <c r="K418" s="113">
        <v>4.17</v>
      </c>
    </row>
    <row r="419" spans="11:11" x14ac:dyDescent="0.3">
      <c r="K419" s="113">
        <v>4.18</v>
      </c>
    </row>
    <row r="420" spans="11:11" x14ac:dyDescent="0.3">
      <c r="K420" s="113">
        <v>4.1900000000000004</v>
      </c>
    </row>
    <row r="421" spans="11:11" x14ac:dyDescent="0.3">
      <c r="K421" s="113">
        <v>4.2</v>
      </c>
    </row>
    <row r="422" spans="11:11" x14ac:dyDescent="0.3">
      <c r="K422" s="113">
        <v>4.21</v>
      </c>
    </row>
    <row r="423" spans="11:11" x14ac:dyDescent="0.3">
      <c r="K423" s="113">
        <v>4.22</v>
      </c>
    </row>
    <row r="424" spans="11:11" x14ac:dyDescent="0.3">
      <c r="K424" s="113">
        <v>4.2300000000000004</v>
      </c>
    </row>
    <row r="425" spans="11:11" x14ac:dyDescent="0.3">
      <c r="K425" s="113">
        <v>4.24</v>
      </c>
    </row>
    <row r="426" spans="11:11" x14ac:dyDescent="0.3">
      <c r="K426" s="113">
        <v>4.25</v>
      </c>
    </row>
    <row r="427" spans="11:11" x14ac:dyDescent="0.3">
      <c r="K427" s="113">
        <v>4.26</v>
      </c>
    </row>
    <row r="428" spans="11:11" x14ac:dyDescent="0.3">
      <c r="K428" s="113">
        <v>4.2699999999999996</v>
      </c>
    </row>
    <row r="429" spans="11:11" x14ac:dyDescent="0.3">
      <c r="K429" s="113">
        <v>4.28</v>
      </c>
    </row>
    <row r="430" spans="11:11" x14ac:dyDescent="0.3">
      <c r="K430" s="113">
        <v>4.29</v>
      </c>
    </row>
    <row r="431" spans="11:11" x14ac:dyDescent="0.3">
      <c r="K431" s="113">
        <v>4.3</v>
      </c>
    </row>
    <row r="432" spans="11:11" x14ac:dyDescent="0.3">
      <c r="K432" s="113">
        <v>4.3099999999999996</v>
      </c>
    </row>
    <row r="433" spans="11:11" x14ac:dyDescent="0.3">
      <c r="K433" s="113">
        <v>4.32</v>
      </c>
    </row>
    <row r="434" spans="11:11" x14ac:dyDescent="0.3">
      <c r="K434" s="113">
        <v>4.33</v>
      </c>
    </row>
    <row r="435" spans="11:11" x14ac:dyDescent="0.3">
      <c r="K435" s="113">
        <v>4.34</v>
      </c>
    </row>
    <row r="436" spans="11:11" x14ac:dyDescent="0.3">
      <c r="K436" s="113">
        <v>4.3499999999999996</v>
      </c>
    </row>
    <row r="437" spans="11:11" x14ac:dyDescent="0.3">
      <c r="K437" s="113">
        <v>4.3600000000000003</v>
      </c>
    </row>
    <row r="438" spans="11:11" x14ac:dyDescent="0.3">
      <c r="K438" s="113">
        <v>4.37</v>
      </c>
    </row>
    <row r="439" spans="11:11" x14ac:dyDescent="0.3">
      <c r="K439" s="113">
        <v>4.38</v>
      </c>
    </row>
    <row r="440" spans="11:11" x14ac:dyDescent="0.3">
      <c r="K440" s="113">
        <v>4.3899999999999997</v>
      </c>
    </row>
    <row r="441" spans="11:11" x14ac:dyDescent="0.3">
      <c r="K441" s="113">
        <v>4.4000000000000004</v>
      </c>
    </row>
    <row r="442" spans="11:11" x14ac:dyDescent="0.3">
      <c r="K442" s="113">
        <v>4.41</v>
      </c>
    </row>
    <row r="443" spans="11:11" x14ac:dyDescent="0.3">
      <c r="K443" s="113">
        <v>4.42</v>
      </c>
    </row>
    <row r="444" spans="11:11" x14ac:dyDescent="0.3">
      <c r="K444" s="113">
        <v>4.43</v>
      </c>
    </row>
    <row r="445" spans="11:11" x14ac:dyDescent="0.3">
      <c r="K445" s="113">
        <v>4.4400000000000004</v>
      </c>
    </row>
    <row r="446" spans="11:11" x14ac:dyDescent="0.3">
      <c r="K446" s="113">
        <v>4.45</v>
      </c>
    </row>
    <row r="447" spans="11:11" x14ac:dyDescent="0.3">
      <c r="K447" s="113">
        <v>4.46</v>
      </c>
    </row>
    <row r="448" spans="11:11" x14ac:dyDescent="0.3">
      <c r="K448" s="113">
        <v>4.47</v>
      </c>
    </row>
    <row r="449" spans="11:11" x14ac:dyDescent="0.3">
      <c r="K449" s="113">
        <v>4.4800000000000004</v>
      </c>
    </row>
    <row r="450" spans="11:11" x14ac:dyDescent="0.3">
      <c r="K450" s="113">
        <v>4.49</v>
      </c>
    </row>
    <row r="451" spans="11:11" x14ac:dyDescent="0.3">
      <c r="K451" s="113">
        <v>4.5</v>
      </c>
    </row>
    <row r="452" spans="11:11" x14ac:dyDescent="0.3">
      <c r="K452" s="113">
        <v>4.51</v>
      </c>
    </row>
    <row r="453" spans="11:11" x14ac:dyDescent="0.3">
      <c r="K453" s="113">
        <v>4.5199999999999996</v>
      </c>
    </row>
    <row r="454" spans="11:11" x14ac:dyDescent="0.3">
      <c r="K454" s="113">
        <v>4.53</v>
      </c>
    </row>
    <row r="455" spans="11:11" x14ac:dyDescent="0.3">
      <c r="K455" s="113">
        <v>4.54</v>
      </c>
    </row>
    <row r="456" spans="11:11" x14ac:dyDescent="0.3">
      <c r="K456" s="113">
        <v>4.55</v>
      </c>
    </row>
    <row r="457" spans="11:11" x14ac:dyDescent="0.3">
      <c r="K457" s="113">
        <v>4.5599999999999996</v>
      </c>
    </row>
    <row r="458" spans="11:11" x14ac:dyDescent="0.3">
      <c r="K458" s="113">
        <v>4.57</v>
      </c>
    </row>
    <row r="459" spans="11:11" x14ac:dyDescent="0.3">
      <c r="K459" s="113">
        <v>4.58</v>
      </c>
    </row>
    <row r="460" spans="11:11" x14ac:dyDescent="0.3">
      <c r="K460" s="113">
        <v>4.59</v>
      </c>
    </row>
    <row r="461" spans="11:11" x14ac:dyDescent="0.3">
      <c r="K461" s="113">
        <v>4.5999999999999996</v>
      </c>
    </row>
    <row r="462" spans="11:11" x14ac:dyDescent="0.3">
      <c r="K462" s="113">
        <v>4.6100000000000003</v>
      </c>
    </row>
    <row r="463" spans="11:11" x14ac:dyDescent="0.3">
      <c r="K463" s="113">
        <v>4.62</v>
      </c>
    </row>
    <row r="464" spans="11:11" x14ac:dyDescent="0.3">
      <c r="K464" s="113">
        <v>4.63</v>
      </c>
    </row>
    <row r="465" spans="11:11" x14ac:dyDescent="0.3">
      <c r="K465" s="113">
        <v>4.6399999999999997</v>
      </c>
    </row>
    <row r="466" spans="11:11" x14ac:dyDescent="0.3">
      <c r="K466" s="113">
        <v>4.6500000000000004</v>
      </c>
    </row>
    <row r="467" spans="11:11" x14ac:dyDescent="0.3">
      <c r="K467" s="113">
        <v>4.66</v>
      </c>
    </row>
    <row r="468" spans="11:11" x14ac:dyDescent="0.3">
      <c r="K468" s="113">
        <v>4.67</v>
      </c>
    </row>
    <row r="469" spans="11:11" x14ac:dyDescent="0.3">
      <c r="K469" s="113">
        <v>4.68</v>
      </c>
    </row>
    <row r="470" spans="11:11" x14ac:dyDescent="0.3">
      <c r="K470" s="113">
        <v>4.6900000000000004</v>
      </c>
    </row>
    <row r="471" spans="11:11" x14ac:dyDescent="0.3">
      <c r="K471" s="113">
        <v>4.7</v>
      </c>
    </row>
    <row r="472" spans="11:11" x14ac:dyDescent="0.3">
      <c r="K472" s="113">
        <v>4.71</v>
      </c>
    </row>
    <row r="473" spans="11:11" x14ac:dyDescent="0.3">
      <c r="K473" s="113">
        <v>4.72</v>
      </c>
    </row>
    <row r="474" spans="11:11" x14ac:dyDescent="0.3">
      <c r="K474" s="113">
        <v>4.7300000000000004</v>
      </c>
    </row>
    <row r="475" spans="11:11" x14ac:dyDescent="0.3">
      <c r="K475" s="113">
        <v>4.74</v>
      </c>
    </row>
    <row r="476" spans="11:11" x14ac:dyDescent="0.3">
      <c r="K476" s="113">
        <v>4.75</v>
      </c>
    </row>
    <row r="477" spans="11:11" x14ac:dyDescent="0.3">
      <c r="K477" s="113">
        <v>4.76</v>
      </c>
    </row>
    <row r="478" spans="11:11" x14ac:dyDescent="0.3">
      <c r="K478" s="113">
        <v>4.7699999999999996</v>
      </c>
    </row>
    <row r="479" spans="11:11" x14ac:dyDescent="0.3">
      <c r="K479" s="113">
        <v>4.78</v>
      </c>
    </row>
    <row r="480" spans="11:11" x14ac:dyDescent="0.3">
      <c r="K480" s="113">
        <v>4.79</v>
      </c>
    </row>
    <row r="481" spans="11:11" x14ac:dyDescent="0.3">
      <c r="K481" s="113">
        <v>4.8</v>
      </c>
    </row>
    <row r="482" spans="11:11" x14ac:dyDescent="0.3">
      <c r="K482" s="113">
        <v>4.8099999999999996</v>
      </c>
    </row>
    <row r="483" spans="11:11" x14ac:dyDescent="0.3">
      <c r="K483" s="113">
        <v>4.82</v>
      </c>
    </row>
    <row r="484" spans="11:11" x14ac:dyDescent="0.3">
      <c r="K484" s="113">
        <v>4.83</v>
      </c>
    </row>
    <row r="485" spans="11:11" x14ac:dyDescent="0.3">
      <c r="K485" s="113">
        <v>4.84</v>
      </c>
    </row>
    <row r="486" spans="11:11" x14ac:dyDescent="0.3">
      <c r="K486" s="113">
        <v>4.8499999999999996</v>
      </c>
    </row>
    <row r="487" spans="11:11" x14ac:dyDescent="0.3">
      <c r="K487" s="113">
        <v>4.8600000000000003</v>
      </c>
    </row>
    <row r="488" spans="11:11" x14ac:dyDescent="0.3">
      <c r="K488" s="113">
        <v>4.87</v>
      </c>
    </row>
    <row r="489" spans="11:11" x14ac:dyDescent="0.3">
      <c r="K489" s="113">
        <v>4.88</v>
      </c>
    </row>
    <row r="490" spans="11:11" x14ac:dyDescent="0.3">
      <c r="K490" s="113">
        <v>4.8899999999999997</v>
      </c>
    </row>
    <row r="491" spans="11:11" x14ac:dyDescent="0.3">
      <c r="K491" s="113">
        <v>4.9000000000000004</v>
      </c>
    </row>
    <row r="492" spans="11:11" x14ac:dyDescent="0.3">
      <c r="K492" s="113">
        <v>4.91</v>
      </c>
    </row>
    <row r="493" spans="11:11" x14ac:dyDescent="0.3">
      <c r="K493" s="113">
        <v>4.92</v>
      </c>
    </row>
    <row r="494" spans="11:11" x14ac:dyDescent="0.3">
      <c r="K494" s="113">
        <v>4.93</v>
      </c>
    </row>
    <row r="495" spans="11:11" x14ac:dyDescent="0.3">
      <c r="K495" s="113">
        <v>4.9400000000000004</v>
      </c>
    </row>
    <row r="496" spans="11:11" x14ac:dyDescent="0.3">
      <c r="K496" s="113">
        <v>4.95</v>
      </c>
    </row>
    <row r="497" spans="11:11" x14ac:dyDescent="0.3">
      <c r="K497" s="113">
        <v>4.96</v>
      </c>
    </row>
    <row r="498" spans="11:11" x14ac:dyDescent="0.3">
      <c r="K498" s="113">
        <v>4.97</v>
      </c>
    </row>
    <row r="499" spans="11:11" x14ac:dyDescent="0.3">
      <c r="K499" s="113">
        <v>4.9800000000000004</v>
      </c>
    </row>
    <row r="500" spans="11:11" x14ac:dyDescent="0.3">
      <c r="K500" s="113">
        <v>4.99</v>
      </c>
    </row>
    <row r="501" spans="11:11" x14ac:dyDescent="0.3">
      <c r="K501" s="113">
        <v>5</v>
      </c>
    </row>
  </sheetData>
  <sheetProtection password="F31D" sheet="1" objects="1" scenarios="1" formatCells="0" selectLockedCells="1" sort="0" autoFilter="0"/>
  <mergeCells count="3">
    <mergeCell ref="G1:I1"/>
    <mergeCell ref="G2:H2"/>
    <mergeCell ref="I2:I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894F2F"/>
  </sheetPr>
  <dimension ref="C2:V31"/>
  <sheetViews>
    <sheetView topLeftCell="A15" workbookViewId="0">
      <selection activeCell="D26" sqref="D26:I26"/>
    </sheetView>
  </sheetViews>
  <sheetFormatPr defaultRowHeight="14.4" x14ac:dyDescent="0.3"/>
  <cols>
    <col min="1" max="2" width="8.88671875" style="108"/>
    <col min="3" max="4" width="2.109375" style="108" customWidth="1"/>
    <col min="5" max="21" width="8.88671875" style="108"/>
    <col min="22" max="22" width="13" style="108" customWidth="1"/>
    <col min="23" max="16384" width="8.88671875" style="108"/>
  </cols>
  <sheetData>
    <row r="2" spans="5:22" ht="24.6" customHeight="1" x14ac:dyDescent="0.3">
      <c r="V2" s="377" t="s">
        <v>596</v>
      </c>
    </row>
    <row r="3" spans="5:22" ht="47.4" customHeight="1" x14ac:dyDescent="0.3">
      <c r="G3" s="266" t="s">
        <v>583</v>
      </c>
      <c r="H3" s="267"/>
      <c r="I3" s="267"/>
      <c r="J3" s="267"/>
      <c r="K3" s="267"/>
      <c r="L3" s="267"/>
      <c r="M3" s="267"/>
      <c r="N3" s="267"/>
      <c r="O3" s="267"/>
      <c r="P3" s="267"/>
      <c r="Q3" s="267"/>
      <c r="R3" s="267"/>
      <c r="S3" s="267"/>
      <c r="T3" s="267"/>
      <c r="U3" s="267"/>
      <c r="V3" s="267"/>
    </row>
    <row r="4" spans="5:22" ht="22.8" customHeight="1" x14ac:dyDescent="0.3">
      <c r="H4" s="263"/>
    </row>
    <row r="5" spans="5:22" ht="22.8" customHeight="1" x14ac:dyDescent="0.3">
      <c r="E5" s="277" t="s">
        <v>586</v>
      </c>
      <c r="H5" s="263"/>
    </row>
    <row r="6" spans="5:22" ht="10.8" customHeight="1" x14ac:dyDescent="0.3">
      <c r="H6" s="263"/>
    </row>
    <row r="12" spans="5:22" ht="23.4" customHeight="1" x14ac:dyDescent="0.3"/>
    <row r="16" spans="5:22" ht="20.399999999999999" customHeight="1" x14ac:dyDescent="0.3"/>
    <row r="18" spans="3:22" ht="20.399999999999999" customHeight="1" x14ac:dyDescent="0.3"/>
    <row r="21" spans="3:22" x14ac:dyDescent="0.3">
      <c r="D21" s="265"/>
    </row>
    <row r="22" spans="3:22" x14ac:dyDescent="0.3">
      <c r="E22" s="264"/>
    </row>
    <row r="23" spans="3:22" x14ac:dyDescent="0.3">
      <c r="E23" s="264"/>
    </row>
    <row r="24" spans="3:22" x14ac:dyDescent="0.3">
      <c r="E24" s="264"/>
    </row>
    <row r="26" spans="3:22" ht="15.6" x14ac:dyDescent="0.3">
      <c r="D26" s="430" t="s">
        <v>604</v>
      </c>
      <c r="E26" s="430"/>
      <c r="F26" s="430"/>
      <c r="G26" s="430"/>
      <c r="H26" s="430"/>
      <c r="I26" s="430"/>
    </row>
    <row r="27" spans="3:22" ht="15.6" x14ac:dyDescent="0.3">
      <c r="D27" s="430" t="s">
        <v>598</v>
      </c>
      <c r="E27" s="430"/>
      <c r="F27" s="430"/>
      <c r="G27" s="430"/>
      <c r="H27" s="430"/>
    </row>
    <row r="29" spans="3:22" x14ac:dyDescent="0.3">
      <c r="V29" s="275" t="s">
        <v>585</v>
      </c>
    </row>
    <row r="30" spans="3:22" x14ac:dyDescent="0.3">
      <c r="V30" s="276" t="s">
        <v>584</v>
      </c>
    </row>
    <row r="31" spans="3:22" x14ac:dyDescent="0.3">
      <c r="C31" s="268"/>
    </row>
  </sheetData>
  <sheetProtection password="F31D" sheet="1" objects="1" scenarios="1" formatCells="0" selectLockedCells="1" sort="0" autoFilter="0"/>
  <mergeCells count="2">
    <mergeCell ref="D26:I26"/>
    <mergeCell ref="D27:H27"/>
  </mergeCells>
  <hyperlinks>
    <hyperlink ref="D27" r:id="rId1"/>
    <hyperlink ref="D26" r:id="rId2"/>
    <hyperlink ref="D26:H26" r:id="rId3" display="www.vergepermaculture.ca/product/ghtool"/>
    <hyperlink ref="D26:I26" r:id="rId4" display="www.vergepermaculture.ca/ghtool"/>
  </hyperlinks>
  <pageMargins left="0.7" right="0.7" top="0.75" bottom="0.75" header="0.3" footer="0.3"/>
  <pageSetup orientation="portrait" verticalDpi="0"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88560"/>
  </sheetPr>
  <dimension ref="A1:V30"/>
  <sheetViews>
    <sheetView topLeftCell="A5" workbookViewId="0">
      <selection activeCell="Q24" sqref="Q24"/>
    </sheetView>
  </sheetViews>
  <sheetFormatPr defaultRowHeight="14.4" x14ac:dyDescent="0.3"/>
  <cols>
    <col min="1" max="1" width="7.33203125" style="106" customWidth="1"/>
    <col min="2" max="2" width="30.109375" style="110" customWidth="1"/>
    <col min="3" max="3" width="2.21875" style="110" customWidth="1"/>
    <col min="4" max="15" width="7.77734375" style="108" customWidth="1"/>
    <col min="16" max="16" width="2.109375" style="108" customWidth="1"/>
    <col min="17" max="18" width="19.5546875" style="108" customWidth="1"/>
    <col min="19" max="19" width="3.77734375" style="108" customWidth="1"/>
    <col min="20" max="20" width="21.21875" style="108" customWidth="1"/>
    <col min="21" max="21" width="1.33203125" style="108" customWidth="1"/>
    <col min="22" max="22" width="8.88671875" style="108"/>
    <col min="23" max="23" width="13.5546875" style="108" customWidth="1"/>
    <col min="24" max="16384" width="8.88671875" style="108"/>
  </cols>
  <sheetData>
    <row r="1" spans="1:22" ht="15" thickBot="1" x14ac:dyDescent="0.35"/>
    <row r="2" spans="1:22" ht="64.8" customHeight="1" thickBot="1" x14ac:dyDescent="0.35">
      <c r="B2" s="431" t="s">
        <v>484</v>
      </c>
      <c r="C2" s="432"/>
      <c r="D2" s="432"/>
      <c r="E2" s="432"/>
      <c r="F2" s="432"/>
      <c r="G2" s="432"/>
      <c r="H2" s="432"/>
      <c r="I2" s="432"/>
      <c r="J2" s="432"/>
      <c r="K2" s="432"/>
      <c r="L2" s="432"/>
      <c r="M2" s="432"/>
      <c r="N2" s="432"/>
      <c r="O2" s="432"/>
      <c r="P2" s="432"/>
      <c r="Q2" s="432"/>
      <c r="R2" s="433"/>
    </row>
    <row r="4" spans="1:22" ht="15" thickBot="1" x14ac:dyDescent="0.35"/>
    <row r="5" spans="1:22" ht="15.6" thickTop="1" thickBot="1" x14ac:dyDescent="0.35">
      <c r="B5" s="115" t="s">
        <v>453</v>
      </c>
      <c r="C5" s="111"/>
      <c r="D5" s="434" t="s">
        <v>420</v>
      </c>
      <c r="E5" s="434"/>
      <c r="F5" s="434"/>
      <c r="G5" s="132"/>
      <c r="H5" s="132"/>
      <c r="I5" s="132"/>
      <c r="J5" s="132"/>
      <c r="K5" s="132"/>
      <c r="L5" s="132"/>
      <c r="M5" s="132"/>
      <c r="N5" s="132"/>
      <c r="O5" s="132"/>
      <c r="P5" s="132"/>
      <c r="Q5" s="216"/>
      <c r="R5" s="237" t="s">
        <v>556</v>
      </c>
    </row>
    <row r="6" spans="1:22" ht="15.6" thickTop="1" thickBot="1" x14ac:dyDescent="0.35">
      <c r="B6" s="115" t="s">
        <v>479</v>
      </c>
      <c r="C6" s="111"/>
      <c r="D6" s="435">
        <f>VLOOKUP(D5,'0. dropdown 1'!A:B,2,0)</f>
        <v>40</v>
      </c>
      <c r="E6" s="435"/>
      <c r="F6" s="435"/>
      <c r="G6" s="218"/>
      <c r="H6" s="219"/>
      <c r="I6" s="219"/>
      <c r="J6" s="219"/>
      <c r="K6" s="219"/>
      <c r="L6" s="219"/>
      <c r="M6" s="218"/>
      <c r="N6" s="219"/>
      <c r="O6" s="218"/>
      <c r="P6" s="132"/>
      <c r="Q6" s="217"/>
      <c r="R6" s="237" t="s">
        <v>557</v>
      </c>
    </row>
    <row r="7" spans="1:22" ht="15" thickTop="1" x14ac:dyDescent="0.3">
      <c r="B7" s="225"/>
      <c r="C7" s="149"/>
      <c r="D7" s="218"/>
      <c r="E7" s="218"/>
      <c r="F7" s="218"/>
      <c r="G7" s="218"/>
      <c r="H7" s="218"/>
      <c r="I7" s="218"/>
      <c r="J7" s="218"/>
      <c r="K7" s="218"/>
      <c r="L7" s="218"/>
      <c r="M7" s="218"/>
      <c r="N7" s="218"/>
      <c r="O7" s="218"/>
      <c r="P7" s="132"/>
      <c r="Q7" s="132"/>
      <c r="R7" s="230"/>
    </row>
    <row r="8" spans="1:22" s="230" customFormat="1" x14ac:dyDescent="0.3">
      <c r="A8" s="228"/>
      <c r="B8" s="226"/>
      <c r="C8" s="226"/>
      <c r="D8" s="105" t="s">
        <v>454</v>
      </c>
      <c r="E8" s="105" t="s">
        <v>455</v>
      </c>
      <c r="F8" s="105" t="s">
        <v>456</v>
      </c>
      <c r="G8" s="105" t="s">
        <v>457</v>
      </c>
      <c r="H8" s="105" t="s">
        <v>458</v>
      </c>
      <c r="I8" s="105" t="s">
        <v>459</v>
      </c>
      <c r="J8" s="105" t="s">
        <v>460</v>
      </c>
      <c r="K8" s="105" t="s">
        <v>461</v>
      </c>
      <c r="L8" s="105" t="s">
        <v>462</v>
      </c>
      <c r="M8" s="105" t="s">
        <v>463</v>
      </c>
      <c r="N8" s="105" t="s">
        <v>464</v>
      </c>
      <c r="O8" s="105" t="s">
        <v>465</v>
      </c>
      <c r="P8" s="105"/>
      <c r="Q8" s="105" t="s">
        <v>478</v>
      </c>
      <c r="R8" s="105" t="s">
        <v>471</v>
      </c>
      <c r="U8" s="238"/>
    </row>
    <row r="9" spans="1:22" s="230" customFormat="1" ht="17.25" customHeight="1" x14ac:dyDescent="0.3">
      <c r="A9" s="228"/>
      <c r="B9" s="226" t="s">
        <v>475</v>
      </c>
      <c r="C9" s="226"/>
      <c r="D9" s="246">
        <v>68</v>
      </c>
      <c r="E9" s="246">
        <v>122</v>
      </c>
      <c r="F9" s="246">
        <v>50</v>
      </c>
      <c r="G9" s="246">
        <v>32</v>
      </c>
      <c r="H9" s="246">
        <v>32</v>
      </c>
      <c r="I9" s="246">
        <v>32</v>
      </c>
      <c r="J9" s="246">
        <v>32</v>
      </c>
      <c r="K9" s="246">
        <v>32</v>
      </c>
      <c r="L9" s="246">
        <v>32</v>
      </c>
      <c r="M9" s="246">
        <v>32</v>
      </c>
      <c r="N9" s="246">
        <v>32</v>
      </c>
      <c r="O9" s="246">
        <v>32</v>
      </c>
      <c r="P9" s="229"/>
      <c r="Q9" s="252">
        <f>IFERROR(AVERAGE(D9:O9),"")</f>
        <v>44</v>
      </c>
      <c r="R9" s="252">
        <f>IFERROR(IF(SUM(D9:O9)=0,"",SUM(D9:O9)),"")</f>
        <v>528</v>
      </c>
    </row>
    <row r="10" spans="1:22" ht="17.25" customHeight="1" x14ac:dyDescent="0.3">
      <c r="A10" s="107"/>
      <c r="B10" s="226" t="s">
        <v>474</v>
      </c>
      <c r="C10" s="112"/>
      <c r="D10" s="247">
        <v>622</v>
      </c>
      <c r="E10" s="247">
        <v>579</v>
      </c>
      <c r="F10" s="247">
        <v>150</v>
      </c>
      <c r="G10" s="247">
        <v>30</v>
      </c>
      <c r="H10" s="247">
        <v>13</v>
      </c>
      <c r="I10" s="247">
        <v>0</v>
      </c>
      <c r="J10" s="247">
        <v>0</v>
      </c>
      <c r="K10" s="247">
        <v>0</v>
      </c>
      <c r="L10" s="247">
        <v>4</v>
      </c>
      <c r="M10" s="247">
        <v>164</v>
      </c>
      <c r="N10" s="247">
        <v>206</v>
      </c>
      <c r="O10" s="247">
        <v>808</v>
      </c>
      <c r="P10" s="150"/>
      <c r="Q10" s="253">
        <f t="shared" ref="Q10:Q19" si="0">IFERROR(AVERAGE(D10:O10),"")</f>
        <v>214.66666666666666</v>
      </c>
      <c r="R10" s="253">
        <f t="shared" ref="R10:R19" si="1">IFERROR(IF(SUM(D10:O10)=0,"",SUM(D10:O10)),"")</f>
        <v>2576</v>
      </c>
      <c r="T10" s="258" t="s">
        <v>579</v>
      </c>
      <c r="U10" s="230"/>
      <c r="V10" s="239" t="str">
        <f>"(Base Temperature For Degree Day Information = " &amp; D6 &amp; " °F)"</f>
        <v>(Base Temperature For Degree Day Information = 40 °F)</v>
      </c>
    </row>
    <row r="11" spans="1:22" s="230" customFormat="1" ht="17.25" customHeight="1" x14ac:dyDescent="0.3">
      <c r="A11" s="228"/>
      <c r="B11" s="226" t="s">
        <v>473</v>
      </c>
      <c r="C11" s="226"/>
      <c r="D11" s="246"/>
      <c r="E11" s="246"/>
      <c r="F11" s="246"/>
      <c r="G11" s="246">
        <v>45</v>
      </c>
      <c r="H11" s="246"/>
      <c r="I11" s="246"/>
      <c r="J11" s="246"/>
      <c r="K11" s="246"/>
      <c r="L11" s="246"/>
      <c r="M11" s="246"/>
      <c r="N11" s="246"/>
      <c r="O11" s="246"/>
      <c r="P11" s="231"/>
      <c r="Q11" s="252">
        <f t="shared" si="0"/>
        <v>45</v>
      </c>
      <c r="R11" s="252">
        <f t="shared" si="1"/>
        <v>45</v>
      </c>
    </row>
    <row r="12" spans="1:22" s="230" customFormat="1" ht="17.25" customHeight="1" x14ac:dyDescent="0.3">
      <c r="A12" s="228"/>
      <c r="B12" s="226" t="s">
        <v>472</v>
      </c>
      <c r="C12" s="226"/>
      <c r="D12" s="248"/>
      <c r="E12" s="248"/>
      <c r="F12" s="248"/>
      <c r="G12" s="248"/>
      <c r="H12" s="248"/>
      <c r="I12" s="248"/>
      <c r="J12" s="248">
        <v>45</v>
      </c>
      <c r="K12" s="248"/>
      <c r="L12" s="248"/>
      <c r="M12" s="248"/>
      <c r="N12" s="248"/>
      <c r="O12" s="248"/>
      <c r="P12" s="232"/>
      <c r="Q12" s="254">
        <f t="shared" si="0"/>
        <v>45</v>
      </c>
      <c r="R12" s="254">
        <f t="shared" si="1"/>
        <v>45</v>
      </c>
    </row>
    <row r="13" spans="1:22" s="230" customFormat="1" ht="17.25" customHeight="1" x14ac:dyDescent="0.3">
      <c r="A13" s="228"/>
      <c r="B13" s="226" t="s">
        <v>466</v>
      </c>
      <c r="C13" s="226"/>
      <c r="D13" s="248"/>
      <c r="E13" s="248">
        <v>10</v>
      </c>
      <c r="F13" s="248"/>
      <c r="G13" s="248"/>
      <c r="H13" s="248"/>
      <c r="I13" s="248"/>
      <c r="J13" s="248"/>
      <c r="K13" s="248"/>
      <c r="L13" s="248"/>
      <c r="M13" s="248"/>
      <c r="N13" s="248"/>
      <c r="O13" s="248"/>
      <c r="P13" s="232"/>
      <c r="Q13" s="254">
        <f t="shared" si="0"/>
        <v>10</v>
      </c>
      <c r="R13" s="254">
        <f t="shared" si="1"/>
        <v>10</v>
      </c>
    </row>
    <row r="14" spans="1:22" ht="17.25" customHeight="1" x14ac:dyDescent="0.3">
      <c r="A14" s="107"/>
      <c r="B14" s="226" t="s">
        <v>476</v>
      </c>
      <c r="C14" s="112"/>
      <c r="D14" s="247">
        <v>68</v>
      </c>
      <c r="E14" s="247">
        <v>122</v>
      </c>
      <c r="F14" s="247">
        <v>50</v>
      </c>
      <c r="G14" s="247">
        <v>32</v>
      </c>
      <c r="H14" s="247">
        <v>32</v>
      </c>
      <c r="I14" s="247">
        <v>32</v>
      </c>
      <c r="J14" s="247">
        <v>32</v>
      </c>
      <c r="K14" s="247">
        <v>32</v>
      </c>
      <c r="L14" s="247">
        <v>32</v>
      </c>
      <c r="M14" s="247">
        <v>32</v>
      </c>
      <c r="N14" s="247">
        <v>32</v>
      </c>
      <c r="O14" s="247">
        <v>32</v>
      </c>
      <c r="P14" s="150"/>
      <c r="Q14" s="253">
        <f t="shared" si="0"/>
        <v>44</v>
      </c>
      <c r="R14" s="253">
        <f t="shared" si="1"/>
        <v>528</v>
      </c>
    </row>
    <row r="15" spans="1:22" s="230" customFormat="1" ht="17.25" customHeight="1" x14ac:dyDescent="0.3">
      <c r="A15" s="228"/>
      <c r="B15" s="226" t="s">
        <v>477</v>
      </c>
      <c r="C15" s="226"/>
      <c r="D15" s="246">
        <v>68</v>
      </c>
      <c r="E15" s="246">
        <v>122</v>
      </c>
      <c r="F15" s="246">
        <v>50</v>
      </c>
      <c r="G15" s="246">
        <v>32</v>
      </c>
      <c r="H15" s="246">
        <v>32</v>
      </c>
      <c r="I15" s="246">
        <v>32</v>
      </c>
      <c r="J15" s="246">
        <v>32</v>
      </c>
      <c r="K15" s="246">
        <v>32</v>
      </c>
      <c r="L15" s="246">
        <v>32</v>
      </c>
      <c r="M15" s="246">
        <v>32</v>
      </c>
      <c r="N15" s="246">
        <v>32</v>
      </c>
      <c r="O15" s="246">
        <v>32</v>
      </c>
      <c r="P15" s="231"/>
      <c r="Q15" s="252">
        <f t="shared" si="0"/>
        <v>44</v>
      </c>
      <c r="R15" s="252">
        <f t="shared" si="1"/>
        <v>528</v>
      </c>
    </row>
    <row r="16" spans="1:22" s="235" customFormat="1" ht="17.25" customHeight="1" x14ac:dyDescent="0.3">
      <c r="A16" s="233"/>
      <c r="B16" s="227" t="s">
        <v>467</v>
      </c>
      <c r="C16" s="227"/>
      <c r="D16" s="249" t="s">
        <v>480</v>
      </c>
      <c r="E16" s="249" t="s">
        <v>481</v>
      </c>
      <c r="F16" s="249" t="s">
        <v>482</v>
      </c>
      <c r="G16" s="249" t="s">
        <v>483</v>
      </c>
      <c r="H16" s="249" t="s">
        <v>481</v>
      </c>
      <c r="I16" s="249"/>
      <c r="J16" s="249"/>
      <c r="K16" s="249"/>
      <c r="L16" s="249"/>
      <c r="M16" s="249"/>
      <c r="N16" s="249"/>
      <c r="O16" s="249"/>
      <c r="P16" s="234"/>
      <c r="Q16" s="255" t="str">
        <f t="shared" si="0"/>
        <v/>
      </c>
      <c r="R16" s="255" t="str">
        <f t="shared" si="1"/>
        <v/>
      </c>
    </row>
    <row r="17" spans="1:19" s="230" customFormat="1" ht="17.25" customHeight="1" x14ac:dyDescent="0.3">
      <c r="A17" s="228"/>
      <c r="B17" s="226" t="s">
        <v>468</v>
      </c>
      <c r="C17" s="226"/>
      <c r="D17" s="250"/>
      <c r="E17" s="250"/>
      <c r="F17" s="250"/>
      <c r="G17" s="250">
        <v>10</v>
      </c>
      <c r="H17" s="250"/>
      <c r="I17" s="250"/>
      <c r="J17" s="250">
        <v>4</v>
      </c>
      <c r="K17" s="250"/>
      <c r="L17" s="250"/>
      <c r="M17" s="250"/>
      <c r="N17" s="250"/>
      <c r="O17" s="250"/>
      <c r="P17" s="236"/>
      <c r="Q17" s="256">
        <f t="shared" si="0"/>
        <v>7</v>
      </c>
      <c r="R17" s="256">
        <f t="shared" si="1"/>
        <v>14</v>
      </c>
    </row>
    <row r="18" spans="1:19" s="230" customFormat="1" ht="17.25" customHeight="1" x14ac:dyDescent="0.3">
      <c r="A18" s="228"/>
      <c r="B18" s="226" t="s">
        <v>469</v>
      </c>
      <c r="C18" s="226"/>
      <c r="D18" s="250"/>
      <c r="E18" s="250"/>
      <c r="F18" s="250">
        <v>45</v>
      </c>
      <c r="G18" s="250"/>
      <c r="H18" s="250"/>
      <c r="I18" s="250"/>
      <c r="J18" s="250">
        <v>20</v>
      </c>
      <c r="K18" s="250"/>
      <c r="L18" s="250"/>
      <c r="M18" s="250"/>
      <c r="N18" s="250"/>
      <c r="O18" s="250"/>
      <c r="P18" s="236"/>
      <c r="Q18" s="256">
        <f t="shared" si="0"/>
        <v>32.5</v>
      </c>
      <c r="R18" s="256">
        <f t="shared" si="1"/>
        <v>65</v>
      </c>
    </row>
    <row r="19" spans="1:19" ht="17.25" customHeight="1" x14ac:dyDescent="0.3">
      <c r="A19" s="107"/>
      <c r="B19" s="226" t="s">
        <v>470</v>
      </c>
      <c r="C19" s="112"/>
      <c r="D19" s="251">
        <v>3</v>
      </c>
      <c r="E19" s="251">
        <v>4</v>
      </c>
      <c r="F19" s="251">
        <v>5</v>
      </c>
      <c r="G19" s="251">
        <v>6</v>
      </c>
      <c r="H19" s="251">
        <v>7</v>
      </c>
      <c r="I19" s="251">
        <v>8</v>
      </c>
      <c r="J19" s="251">
        <v>9</v>
      </c>
      <c r="K19" s="251">
        <v>9</v>
      </c>
      <c r="L19" s="251">
        <v>7</v>
      </c>
      <c r="M19" s="251">
        <v>5</v>
      </c>
      <c r="N19" s="251">
        <v>3</v>
      </c>
      <c r="O19" s="251">
        <v>2</v>
      </c>
      <c r="P19" s="151"/>
      <c r="Q19" s="257">
        <f t="shared" si="0"/>
        <v>5.666666666666667</v>
      </c>
      <c r="R19" s="257">
        <f t="shared" si="1"/>
        <v>68</v>
      </c>
    </row>
    <row r="20" spans="1:19" x14ac:dyDescent="0.3">
      <c r="B20" s="225"/>
    </row>
    <row r="21" spans="1:19" x14ac:dyDescent="0.3">
      <c r="B21" s="225"/>
    </row>
    <row r="22" spans="1:19" x14ac:dyDescent="0.3">
      <c r="B22" s="225"/>
    </row>
    <row r="23" spans="1:19" ht="15" thickBot="1" x14ac:dyDescent="0.35">
      <c r="B23" s="226" t="s">
        <v>601</v>
      </c>
      <c r="C23" s="273"/>
      <c r="D23" s="380">
        <v>20</v>
      </c>
      <c r="E23" s="380">
        <v>50</v>
      </c>
      <c r="F23" s="380">
        <v>10</v>
      </c>
      <c r="G23" s="380"/>
      <c r="H23" s="380"/>
      <c r="I23" s="380"/>
      <c r="J23" s="380"/>
      <c r="K23" s="380"/>
      <c r="L23" s="380"/>
      <c r="M23" s="380"/>
      <c r="N23" s="380"/>
      <c r="O23" s="380"/>
      <c r="P23" s="274"/>
      <c r="Q23" s="105" t="s">
        <v>603</v>
      </c>
      <c r="R23" s="274"/>
      <c r="S23" s="274"/>
    </row>
    <row r="24" spans="1:19" ht="15.6" thickTop="1" thickBot="1" x14ac:dyDescent="0.35">
      <c r="B24" s="226" t="s">
        <v>602</v>
      </c>
      <c r="D24" s="382">
        <f>D23*9/5+32</f>
        <v>68</v>
      </c>
      <c r="E24" s="382">
        <f t="shared" ref="E24:O24" si="2">E23*9/5+32</f>
        <v>122</v>
      </c>
      <c r="F24" s="382">
        <f t="shared" si="2"/>
        <v>50</v>
      </c>
      <c r="G24" s="382">
        <f t="shared" si="2"/>
        <v>32</v>
      </c>
      <c r="H24" s="382">
        <f t="shared" si="2"/>
        <v>32</v>
      </c>
      <c r="I24" s="382">
        <f t="shared" si="2"/>
        <v>32</v>
      </c>
      <c r="J24" s="382">
        <f t="shared" si="2"/>
        <v>32</v>
      </c>
      <c r="K24" s="382">
        <f t="shared" si="2"/>
        <v>32</v>
      </c>
      <c r="L24" s="382">
        <f t="shared" si="2"/>
        <v>32</v>
      </c>
      <c r="M24" s="382">
        <f t="shared" si="2"/>
        <v>32</v>
      </c>
      <c r="N24" s="382">
        <f t="shared" si="2"/>
        <v>32</v>
      </c>
      <c r="O24" s="382">
        <f t="shared" si="2"/>
        <v>32</v>
      </c>
      <c r="Q24" s="379" t="s">
        <v>477</v>
      </c>
    </row>
    <row r="25" spans="1:19" ht="15" thickTop="1" x14ac:dyDescent="0.3"/>
    <row r="26" spans="1:19" x14ac:dyDescent="0.3">
      <c r="B26" s="381" t="s">
        <v>475</v>
      </c>
    </row>
    <row r="27" spans="1:19" x14ac:dyDescent="0.3">
      <c r="B27" s="381" t="s">
        <v>474</v>
      </c>
    </row>
    <row r="28" spans="1:19" x14ac:dyDescent="0.3">
      <c r="B28" s="381" t="s">
        <v>473</v>
      </c>
    </row>
    <row r="29" spans="1:19" x14ac:dyDescent="0.3">
      <c r="B29" s="381" t="s">
        <v>476</v>
      </c>
    </row>
    <row r="30" spans="1:19" x14ac:dyDescent="0.3">
      <c r="B30" s="381" t="s">
        <v>477</v>
      </c>
    </row>
  </sheetData>
  <sheetProtection password="F31D" sheet="1" objects="1" scenarios="1" formatCells="0" selectLockedCells="1" sort="0" autoFilter="0"/>
  <dataConsolidate/>
  <mergeCells count="3">
    <mergeCell ref="B2:R2"/>
    <mergeCell ref="D5:F5"/>
    <mergeCell ref="D6:F6"/>
  </mergeCells>
  <dataValidations count="3">
    <dataValidation type="list" allowBlank="1" showInputMessage="1" showErrorMessage="1" sqref="D16:O16">
      <formula1>"NE, NW, SE, SW"</formula1>
    </dataValidation>
    <dataValidation type="custom" allowBlank="1" showErrorMessage="1" sqref="T10">
      <formula1>"&lt;0&gt;0"</formula1>
    </dataValidation>
    <dataValidation type="list" allowBlank="1" showInputMessage="1" showErrorMessage="1" sqref="Q24">
      <formula1>$B$26:$B$30</formula1>
    </dataValidation>
  </dataValidations>
  <hyperlinks>
    <hyperlink ref="T10" r:id="rId1"/>
  </hyperlinks>
  <pageMargins left="0.7" right="0.7" top="0.75" bottom="0.75" header="0.3" footer="0.3"/>
  <pageSetup orientation="landscape" verticalDpi="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'0. dropdown 1'!$A$2:$A$27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88560"/>
  </sheetPr>
  <dimension ref="A1:U93"/>
  <sheetViews>
    <sheetView workbookViewId="0">
      <selection activeCell="E5" sqref="E5:G5"/>
    </sheetView>
  </sheetViews>
  <sheetFormatPr defaultRowHeight="14.4" x14ac:dyDescent="0.3"/>
  <cols>
    <col min="1" max="1" width="7.33203125" style="108" customWidth="1"/>
    <col min="2" max="2" width="6.33203125" style="108" customWidth="1"/>
    <col min="3" max="3" width="50.5546875" style="108" customWidth="1"/>
    <col min="4" max="4" width="1.77734375" style="108" customWidth="1"/>
    <col min="5" max="5" width="10.33203125" style="108" customWidth="1"/>
    <col min="6" max="7" width="16.21875" style="108" customWidth="1"/>
    <col min="8" max="8" width="21.33203125" style="108" customWidth="1"/>
    <col min="9" max="10" width="18.109375" style="108" customWidth="1"/>
    <col min="11" max="12" width="8.88671875" style="108" hidden="1" customWidth="1"/>
    <col min="13" max="13" width="3" style="108" customWidth="1"/>
    <col min="14" max="16384" width="8.88671875" style="108"/>
  </cols>
  <sheetData>
    <row r="1" spans="1:15" ht="29.4" customHeight="1" thickBot="1" x14ac:dyDescent="0.35">
      <c r="B1" s="441" t="s">
        <v>587</v>
      </c>
      <c r="C1" s="441"/>
      <c r="D1" s="441"/>
      <c r="E1" s="441"/>
      <c r="F1" s="441"/>
      <c r="G1" s="441"/>
      <c r="H1" s="441"/>
      <c r="I1" s="441"/>
      <c r="J1" s="441"/>
      <c r="K1" s="441"/>
      <c r="L1" s="441"/>
      <c r="M1" s="441"/>
    </row>
    <row r="2" spans="1:15" ht="64.8" customHeight="1" thickBot="1" x14ac:dyDescent="0.35">
      <c r="B2" s="431" t="s">
        <v>492</v>
      </c>
      <c r="C2" s="432"/>
      <c r="D2" s="432"/>
      <c r="E2" s="432"/>
      <c r="F2" s="432"/>
      <c r="G2" s="432"/>
      <c r="H2" s="432"/>
      <c r="I2" s="432"/>
      <c r="J2" s="432"/>
      <c r="K2" s="432"/>
      <c r="L2" s="432"/>
      <c r="M2" s="433"/>
    </row>
    <row r="3" spans="1:15" s="106" customFormat="1" ht="15.6" customHeight="1" x14ac:dyDescent="0.3">
      <c r="C3" s="117"/>
      <c r="D3" s="117"/>
      <c r="E3" s="117"/>
      <c r="F3" s="117"/>
      <c r="G3" s="117"/>
      <c r="H3" s="117"/>
      <c r="I3" s="117"/>
      <c r="J3" s="117"/>
      <c r="K3" s="117"/>
      <c r="L3" s="117"/>
      <c r="M3" s="117"/>
      <c r="N3" s="117"/>
    </row>
    <row r="5" spans="1:15" x14ac:dyDescent="0.3">
      <c r="A5" s="106"/>
      <c r="B5" s="106"/>
      <c r="C5" s="111" t="s">
        <v>485</v>
      </c>
      <c r="D5" s="111"/>
      <c r="E5" s="448" t="s">
        <v>386</v>
      </c>
      <c r="F5" s="448"/>
      <c r="G5" s="448"/>
    </row>
    <row r="6" spans="1:15" x14ac:dyDescent="0.3">
      <c r="A6" s="106"/>
      <c r="B6" s="106"/>
      <c r="C6" s="111" t="s">
        <v>489</v>
      </c>
      <c r="D6" s="111"/>
      <c r="E6" s="449">
        <v>-32</v>
      </c>
      <c r="F6" s="450"/>
      <c r="G6" s="451"/>
    </row>
    <row r="7" spans="1:15" ht="15" thickBot="1" x14ac:dyDescent="0.35">
      <c r="A7" s="106"/>
      <c r="B7" s="106"/>
      <c r="C7" s="111" t="s">
        <v>558</v>
      </c>
      <c r="D7" s="111"/>
      <c r="E7" s="445">
        <v>40</v>
      </c>
      <c r="F7" s="446"/>
      <c r="G7" s="447"/>
      <c r="O7" s="152"/>
    </row>
    <row r="8" spans="1:15" ht="15.6" thickTop="1" thickBot="1" x14ac:dyDescent="0.35">
      <c r="A8" s="106"/>
      <c r="B8" s="106"/>
      <c r="C8" s="111" t="s">
        <v>486</v>
      </c>
      <c r="D8" s="111"/>
      <c r="E8" s="436">
        <f>(E7-E6)</f>
        <v>72</v>
      </c>
      <c r="F8" s="436"/>
      <c r="G8" s="436"/>
      <c r="O8" s="113"/>
    </row>
    <row r="9" spans="1:15" ht="15.6" thickTop="1" thickBot="1" x14ac:dyDescent="0.35">
      <c r="A9" s="106"/>
      <c r="B9" s="106"/>
      <c r="C9" s="111" t="s">
        <v>474</v>
      </c>
      <c r="D9" s="111"/>
      <c r="E9" s="436">
        <f>'1.Climate Data'!R10</f>
        <v>2576</v>
      </c>
      <c r="F9" s="436"/>
      <c r="G9" s="436"/>
    </row>
    <row r="10" spans="1:15" ht="15.6" thickTop="1" thickBot="1" x14ac:dyDescent="0.35">
      <c r="A10" s="106"/>
      <c r="B10" s="106"/>
      <c r="C10" s="111" t="s">
        <v>487</v>
      </c>
      <c r="D10" s="111"/>
      <c r="E10" s="437">
        <v>2000</v>
      </c>
      <c r="F10" s="437" t="s">
        <v>78</v>
      </c>
      <c r="G10" s="437"/>
    </row>
    <row r="11" spans="1:15" ht="15" thickTop="1" x14ac:dyDescent="0.3">
      <c r="A11" s="106"/>
      <c r="B11" s="106"/>
      <c r="C11" s="111" t="s">
        <v>488</v>
      </c>
      <c r="D11" s="111"/>
      <c r="E11" s="438" t="s">
        <v>541</v>
      </c>
      <c r="F11" s="438"/>
      <c r="G11" s="438"/>
    </row>
    <row r="13" spans="1:15" ht="15" thickBot="1" x14ac:dyDescent="0.35"/>
    <row r="14" spans="1:15" ht="24" customHeight="1" thickBot="1" x14ac:dyDescent="0.35">
      <c r="C14" s="442" t="s">
        <v>542</v>
      </c>
      <c r="D14" s="443"/>
      <c r="E14" s="443"/>
      <c r="F14" s="443"/>
      <c r="G14" s="443"/>
      <c r="H14" s="443"/>
      <c r="I14" s="443"/>
      <c r="J14" s="443"/>
      <c r="K14" s="443"/>
      <c r="L14" s="443"/>
      <c r="M14" s="444"/>
    </row>
    <row r="15" spans="1:15" x14ac:dyDescent="0.3">
      <c r="C15" s="118"/>
      <c r="D15" s="118"/>
    </row>
    <row r="16" spans="1:15" ht="15" thickBot="1" x14ac:dyDescent="0.35">
      <c r="C16" s="111" t="s">
        <v>508</v>
      </c>
      <c r="D16" s="111"/>
      <c r="E16" s="259">
        <v>2</v>
      </c>
    </row>
    <row r="17" spans="1:13" s="106" customFormat="1" ht="15" thickTop="1" x14ac:dyDescent="0.3">
      <c r="A17" s="109"/>
      <c r="B17" s="109"/>
      <c r="C17" s="109"/>
      <c r="D17" s="109"/>
      <c r="E17" s="118" t="s">
        <v>490</v>
      </c>
      <c r="F17" s="119" t="s">
        <v>493</v>
      </c>
      <c r="G17" s="120" t="s">
        <v>494</v>
      </c>
      <c r="H17" s="120" t="s">
        <v>495</v>
      </c>
      <c r="I17" s="120" t="s">
        <v>496</v>
      </c>
      <c r="J17" s="120" t="s">
        <v>497</v>
      </c>
    </row>
    <row r="18" spans="1:13" x14ac:dyDescent="0.3">
      <c r="A18" s="106"/>
      <c r="B18" s="106"/>
      <c r="C18" s="106"/>
      <c r="D18" s="106"/>
      <c r="E18" s="118" t="s">
        <v>498</v>
      </c>
      <c r="F18" s="260">
        <v>200</v>
      </c>
      <c r="G18" s="279">
        <v>5</v>
      </c>
      <c r="H18" s="220">
        <f>IFERROR(1/G18,"")</f>
        <v>0.2</v>
      </c>
      <c r="I18" s="221">
        <f>IFERROR(F18*H18*($E$8),"")</f>
        <v>2880</v>
      </c>
      <c r="J18" s="222">
        <f t="shared" ref="J18:J27" si="0">IFERROR((I18/$I$91)*$J$91,"")</f>
        <v>0</v>
      </c>
      <c r="K18" s="108">
        <v>1</v>
      </c>
      <c r="L18" s="108">
        <f>IF(K18&lt;=$E$16,1,0)</f>
        <v>1</v>
      </c>
    </row>
    <row r="19" spans="1:13" x14ac:dyDescent="0.3">
      <c r="A19" s="106"/>
      <c r="B19" s="106"/>
      <c r="C19" s="106"/>
      <c r="D19" s="106"/>
      <c r="E19" s="118" t="s">
        <v>499</v>
      </c>
      <c r="F19" s="260">
        <v>100</v>
      </c>
      <c r="G19" s="279">
        <v>20</v>
      </c>
      <c r="H19" s="220">
        <f t="shared" ref="H19:H27" si="1">IFERROR(1/G19,"")</f>
        <v>0.05</v>
      </c>
      <c r="I19" s="221">
        <f t="shared" ref="I19:I27" si="2">IFERROR(F19*H19*($E$8),"")</f>
        <v>360</v>
      </c>
      <c r="J19" s="222">
        <f t="shared" si="0"/>
        <v>0</v>
      </c>
      <c r="K19" s="108">
        <v>2</v>
      </c>
      <c r="L19" s="108">
        <f t="shared" ref="L19:L27" si="3">IF(K19&lt;=$E$16,1,0)</f>
        <v>1</v>
      </c>
    </row>
    <row r="20" spans="1:13" x14ac:dyDescent="0.3">
      <c r="A20" s="106"/>
      <c r="B20" s="106"/>
      <c r="C20" s="106"/>
      <c r="D20" s="106"/>
      <c r="E20" s="118" t="s">
        <v>500</v>
      </c>
      <c r="F20" s="260"/>
      <c r="G20" s="279">
        <v>30</v>
      </c>
      <c r="H20" s="220">
        <f t="shared" si="1"/>
        <v>3.3333333333333333E-2</v>
      </c>
      <c r="I20" s="221">
        <f t="shared" si="2"/>
        <v>0</v>
      </c>
      <c r="J20" s="222">
        <f t="shared" si="0"/>
        <v>0</v>
      </c>
      <c r="K20" s="108">
        <v>3</v>
      </c>
      <c r="L20" s="108">
        <f t="shared" si="3"/>
        <v>0</v>
      </c>
    </row>
    <row r="21" spans="1:13" x14ac:dyDescent="0.3">
      <c r="A21" s="106"/>
      <c r="B21" s="106"/>
      <c r="C21" s="106"/>
      <c r="D21" s="106"/>
      <c r="E21" s="118" t="s">
        <v>501</v>
      </c>
      <c r="F21" s="260"/>
      <c r="G21" s="279"/>
      <c r="H21" s="220" t="str">
        <f t="shared" si="1"/>
        <v/>
      </c>
      <c r="I21" s="221" t="str">
        <f t="shared" si="2"/>
        <v/>
      </c>
      <c r="J21" s="222" t="str">
        <f t="shared" si="0"/>
        <v/>
      </c>
      <c r="K21" s="108">
        <v>4</v>
      </c>
      <c r="L21" s="108">
        <f t="shared" si="3"/>
        <v>0</v>
      </c>
    </row>
    <row r="22" spans="1:13" x14ac:dyDescent="0.3">
      <c r="A22" s="106"/>
      <c r="B22" s="106"/>
      <c r="C22" s="106"/>
      <c r="D22" s="106"/>
      <c r="E22" s="118" t="s">
        <v>502</v>
      </c>
      <c r="F22" s="260"/>
      <c r="G22" s="279"/>
      <c r="H22" s="220" t="str">
        <f t="shared" si="1"/>
        <v/>
      </c>
      <c r="I22" s="221" t="str">
        <f t="shared" si="2"/>
        <v/>
      </c>
      <c r="J22" s="222" t="str">
        <f t="shared" si="0"/>
        <v/>
      </c>
      <c r="K22" s="108">
        <v>5</v>
      </c>
      <c r="L22" s="108">
        <f t="shared" si="3"/>
        <v>0</v>
      </c>
    </row>
    <row r="23" spans="1:13" x14ac:dyDescent="0.3">
      <c r="A23" s="106"/>
      <c r="B23" s="106"/>
      <c r="C23" s="106"/>
      <c r="D23" s="106"/>
      <c r="E23" s="118" t="s">
        <v>503</v>
      </c>
      <c r="F23" s="260"/>
      <c r="G23" s="279"/>
      <c r="H23" s="220" t="str">
        <f t="shared" si="1"/>
        <v/>
      </c>
      <c r="I23" s="221" t="str">
        <f t="shared" si="2"/>
        <v/>
      </c>
      <c r="J23" s="222" t="str">
        <f t="shared" si="0"/>
        <v/>
      </c>
      <c r="K23" s="108">
        <v>6</v>
      </c>
      <c r="L23" s="108">
        <f t="shared" si="3"/>
        <v>0</v>
      </c>
    </row>
    <row r="24" spans="1:13" x14ac:dyDescent="0.3">
      <c r="A24" s="106"/>
      <c r="B24" s="106"/>
      <c r="C24" s="106"/>
      <c r="D24" s="106"/>
      <c r="E24" s="118" t="s">
        <v>504</v>
      </c>
      <c r="F24" s="260"/>
      <c r="G24" s="279"/>
      <c r="H24" s="220" t="str">
        <f t="shared" si="1"/>
        <v/>
      </c>
      <c r="I24" s="221" t="str">
        <f t="shared" si="2"/>
        <v/>
      </c>
      <c r="J24" s="222" t="str">
        <f t="shared" si="0"/>
        <v/>
      </c>
      <c r="K24" s="108">
        <v>7</v>
      </c>
      <c r="L24" s="108">
        <f t="shared" si="3"/>
        <v>0</v>
      </c>
    </row>
    <row r="25" spans="1:13" x14ac:dyDescent="0.3">
      <c r="A25" s="106"/>
      <c r="B25" s="106"/>
      <c r="C25" s="106"/>
      <c r="D25" s="106"/>
      <c r="E25" s="118" t="s">
        <v>505</v>
      </c>
      <c r="F25" s="260"/>
      <c r="G25" s="279"/>
      <c r="H25" s="220" t="str">
        <f t="shared" si="1"/>
        <v/>
      </c>
      <c r="I25" s="221" t="str">
        <f t="shared" si="2"/>
        <v/>
      </c>
      <c r="J25" s="222" t="str">
        <f t="shared" si="0"/>
        <v/>
      </c>
      <c r="K25" s="108">
        <v>8</v>
      </c>
      <c r="L25" s="108">
        <f t="shared" si="3"/>
        <v>0</v>
      </c>
    </row>
    <row r="26" spans="1:13" x14ac:dyDescent="0.3">
      <c r="A26" s="106"/>
      <c r="B26" s="106"/>
      <c r="C26" s="106"/>
      <c r="D26" s="106"/>
      <c r="E26" s="118" t="s">
        <v>506</v>
      </c>
      <c r="F26" s="260"/>
      <c r="G26" s="279"/>
      <c r="H26" s="220" t="str">
        <f t="shared" si="1"/>
        <v/>
      </c>
      <c r="I26" s="221" t="str">
        <f t="shared" si="2"/>
        <v/>
      </c>
      <c r="J26" s="222" t="str">
        <f t="shared" si="0"/>
        <v/>
      </c>
      <c r="K26" s="108">
        <v>9</v>
      </c>
      <c r="L26" s="108">
        <f t="shared" si="3"/>
        <v>0</v>
      </c>
    </row>
    <row r="27" spans="1:13" x14ac:dyDescent="0.3">
      <c r="A27" s="106"/>
      <c r="B27" s="106"/>
      <c r="C27" s="106"/>
      <c r="D27" s="106"/>
      <c r="E27" s="118" t="s">
        <v>507</v>
      </c>
      <c r="F27" s="260"/>
      <c r="G27" s="279"/>
      <c r="H27" s="220" t="str">
        <f t="shared" si="1"/>
        <v/>
      </c>
      <c r="I27" s="221" t="str">
        <f t="shared" si="2"/>
        <v/>
      </c>
      <c r="J27" s="222" t="str">
        <f t="shared" si="0"/>
        <v/>
      </c>
      <c r="K27" s="108">
        <v>10</v>
      </c>
      <c r="L27" s="108">
        <f t="shared" si="3"/>
        <v>0</v>
      </c>
    </row>
    <row r="28" spans="1:13" x14ac:dyDescent="0.3">
      <c r="E28" s="118" t="s">
        <v>490</v>
      </c>
    </row>
    <row r="29" spans="1:13" x14ac:dyDescent="0.3">
      <c r="E29" s="116" t="s">
        <v>490</v>
      </c>
      <c r="H29" s="118" t="s">
        <v>510</v>
      </c>
      <c r="I29" s="221">
        <f>SUMPRODUCT(I18:I27,$L18:$L27)</f>
        <v>3240</v>
      </c>
      <c r="J29" s="222">
        <f>SUMPRODUCT(J18:J27,$L18:$L27)</f>
        <v>0</v>
      </c>
    </row>
    <row r="30" spans="1:13" ht="15" thickBot="1" x14ac:dyDescent="0.35">
      <c r="E30" s="118" t="s">
        <v>490</v>
      </c>
      <c r="H30" s="113"/>
      <c r="I30" s="113"/>
      <c r="J30" s="113"/>
    </row>
    <row r="31" spans="1:13" ht="24" customHeight="1" thickBot="1" x14ac:dyDescent="0.35">
      <c r="C31" s="442" t="s">
        <v>543</v>
      </c>
      <c r="D31" s="443"/>
      <c r="E31" s="443"/>
      <c r="F31" s="443"/>
      <c r="G31" s="443"/>
      <c r="H31" s="443"/>
      <c r="I31" s="443"/>
      <c r="J31" s="443"/>
      <c r="K31" s="443"/>
      <c r="L31" s="443"/>
      <c r="M31" s="444"/>
    </row>
    <row r="32" spans="1:13" x14ac:dyDescent="0.3">
      <c r="E32" s="118"/>
      <c r="H32" s="113"/>
      <c r="I32" s="113"/>
      <c r="J32" s="113"/>
    </row>
    <row r="33" spans="1:13" ht="15" thickBot="1" x14ac:dyDescent="0.35">
      <c r="C33" s="111" t="s">
        <v>509</v>
      </c>
      <c r="D33" s="111"/>
      <c r="E33" s="259">
        <v>1</v>
      </c>
      <c r="H33" s="113"/>
      <c r="I33" s="113"/>
      <c r="J33" s="113"/>
    </row>
    <row r="34" spans="1:13" ht="15" thickTop="1" x14ac:dyDescent="0.3">
      <c r="A34" s="113"/>
      <c r="B34" s="113"/>
      <c r="C34" s="113"/>
      <c r="D34" s="113"/>
      <c r="E34" s="116" t="s">
        <v>490</v>
      </c>
      <c r="F34" s="119" t="s">
        <v>493</v>
      </c>
      <c r="G34" s="120" t="s">
        <v>494</v>
      </c>
      <c r="H34" s="120" t="s">
        <v>495</v>
      </c>
      <c r="I34" s="120" t="s">
        <v>496</v>
      </c>
      <c r="J34" s="120" t="s">
        <v>497</v>
      </c>
    </row>
    <row r="35" spans="1:13" x14ac:dyDescent="0.3">
      <c r="A35" s="106"/>
      <c r="B35" s="106"/>
      <c r="C35" s="106"/>
      <c r="D35" s="106"/>
      <c r="E35" s="118" t="s">
        <v>511</v>
      </c>
      <c r="F35" s="260">
        <v>200</v>
      </c>
      <c r="G35" s="279">
        <v>15</v>
      </c>
      <c r="H35" s="220">
        <f>IFERROR(1/G35,"")</f>
        <v>6.6666666666666666E-2</v>
      </c>
      <c r="I35" s="221">
        <f>IFERROR(F35*H35*($E$8),"")</f>
        <v>960</v>
      </c>
      <c r="J35" s="222">
        <f t="shared" ref="J35:J44" si="4">IFERROR((I35/$I$91)*$J$91,"")</f>
        <v>0</v>
      </c>
      <c r="K35" s="108">
        <v>1</v>
      </c>
      <c r="L35" s="108">
        <f>IF(K35&lt;=$E$33,1,0)</f>
        <v>1</v>
      </c>
    </row>
    <row r="36" spans="1:13" x14ac:dyDescent="0.3">
      <c r="A36" s="106"/>
      <c r="B36" s="106"/>
      <c r="C36" s="106"/>
      <c r="D36" s="106"/>
      <c r="E36" s="118" t="s">
        <v>512</v>
      </c>
      <c r="F36" s="260">
        <v>150</v>
      </c>
      <c r="G36" s="279">
        <v>25</v>
      </c>
      <c r="H36" s="220">
        <f t="shared" ref="H36:H44" si="5">IFERROR(1/G36,"")</f>
        <v>0.04</v>
      </c>
      <c r="I36" s="221">
        <f t="shared" ref="I36:I44" si="6">IFERROR(F36*H36*($E$8),"")</f>
        <v>432</v>
      </c>
      <c r="J36" s="222">
        <f t="shared" si="4"/>
        <v>0</v>
      </c>
      <c r="K36" s="108">
        <v>2</v>
      </c>
      <c r="L36" s="108">
        <f t="shared" ref="L36:L44" si="7">IF(K36&lt;=$E$33,1,0)</f>
        <v>0</v>
      </c>
    </row>
    <row r="37" spans="1:13" x14ac:dyDescent="0.3">
      <c r="A37" s="106"/>
      <c r="B37" s="106"/>
      <c r="C37" s="106"/>
      <c r="D37" s="106"/>
      <c r="E37" s="118" t="s">
        <v>513</v>
      </c>
      <c r="F37" s="260">
        <v>150</v>
      </c>
      <c r="G37" s="279">
        <v>15</v>
      </c>
      <c r="H37" s="220">
        <f t="shared" si="5"/>
        <v>6.6666666666666666E-2</v>
      </c>
      <c r="I37" s="221">
        <f t="shared" si="6"/>
        <v>720</v>
      </c>
      <c r="J37" s="222">
        <f t="shared" si="4"/>
        <v>0</v>
      </c>
      <c r="K37" s="108">
        <v>3</v>
      </c>
      <c r="L37" s="108">
        <f t="shared" si="7"/>
        <v>0</v>
      </c>
    </row>
    <row r="38" spans="1:13" x14ac:dyDescent="0.3">
      <c r="A38" s="106"/>
      <c r="B38" s="106"/>
      <c r="C38" s="106"/>
      <c r="D38" s="106"/>
      <c r="E38" s="118" t="s">
        <v>514</v>
      </c>
      <c r="F38" s="260">
        <v>50</v>
      </c>
      <c r="G38" s="279">
        <v>30</v>
      </c>
      <c r="H38" s="220">
        <f t="shared" si="5"/>
        <v>3.3333333333333333E-2</v>
      </c>
      <c r="I38" s="221">
        <f t="shared" si="6"/>
        <v>120</v>
      </c>
      <c r="J38" s="222">
        <f t="shared" si="4"/>
        <v>0</v>
      </c>
      <c r="K38" s="108">
        <v>4</v>
      </c>
      <c r="L38" s="108">
        <f t="shared" si="7"/>
        <v>0</v>
      </c>
    </row>
    <row r="39" spans="1:13" x14ac:dyDescent="0.3">
      <c r="A39" s="106"/>
      <c r="B39" s="106"/>
      <c r="C39" s="106"/>
      <c r="D39" s="106"/>
      <c r="E39" s="118" t="s">
        <v>515</v>
      </c>
      <c r="F39" s="260"/>
      <c r="G39" s="279"/>
      <c r="H39" s="220" t="str">
        <f t="shared" si="5"/>
        <v/>
      </c>
      <c r="I39" s="221" t="str">
        <f t="shared" si="6"/>
        <v/>
      </c>
      <c r="J39" s="222" t="str">
        <f t="shared" si="4"/>
        <v/>
      </c>
      <c r="K39" s="108">
        <v>5</v>
      </c>
      <c r="L39" s="108">
        <f t="shared" si="7"/>
        <v>0</v>
      </c>
    </row>
    <row r="40" spans="1:13" x14ac:dyDescent="0.3">
      <c r="A40" s="106"/>
      <c r="B40" s="106"/>
      <c r="C40" s="106"/>
      <c r="D40" s="106"/>
      <c r="E40" s="118" t="s">
        <v>516</v>
      </c>
      <c r="F40" s="260"/>
      <c r="G40" s="279"/>
      <c r="H40" s="220" t="str">
        <f t="shared" si="5"/>
        <v/>
      </c>
      <c r="I40" s="221" t="str">
        <f t="shared" si="6"/>
        <v/>
      </c>
      <c r="J40" s="222" t="str">
        <f t="shared" si="4"/>
        <v/>
      </c>
      <c r="K40" s="108">
        <v>6</v>
      </c>
      <c r="L40" s="108">
        <f t="shared" si="7"/>
        <v>0</v>
      </c>
    </row>
    <row r="41" spans="1:13" x14ac:dyDescent="0.3">
      <c r="A41" s="106"/>
      <c r="B41" s="106"/>
      <c r="C41" s="106"/>
      <c r="D41" s="106"/>
      <c r="E41" s="118" t="s">
        <v>517</v>
      </c>
      <c r="F41" s="260"/>
      <c r="G41" s="279"/>
      <c r="H41" s="220" t="str">
        <f t="shared" si="5"/>
        <v/>
      </c>
      <c r="I41" s="221" t="str">
        <f t="shared" si="6"/>
        <v/>
      </c>
      <c r="J41" s="222" t="str">
        <f t="shared" si="4"/>
        <v/>
      </c>
      <c r="K41" s="108">
        <v>7</v>
      </c>
      <c r="L41" s="108">
        <f t="shared" si="7"/>
        <v>0</v>
      </c>
    </row>
    <row r="42" spans="1:13" x14ac:dyDescent="0.3">
      <c r="A42" s="106"/>
      <c r="B42" s="106"/>
      <c r="C42" s="106"/>
      <c r="D42" s="106"/>
      <c r="E42" s="118" t="s">
        <v>518</v>
      </c>
      <c r="F42" s="260"/>
      <c r="G42" s="279"/>
      <c r="H42" s="220" t="str">
        <f t="shared" si="5"/>
        <v/>
      </c>
      <c r="I42" s="221" t="str">
        <f t="shared" si="6"/>
        <v/>
      </c>
      <c r="J42" s="222" t="str">
        <f t="shared" si="4"/>
        <v/>
      </c>
      <c r="K42" s="108">
        <v>8</v>
      </c>
      <c r="L42" s="108">
        <f t="shared" si="7"/>
        <v>0</v>
      </c>
    </row>
    <row r="43" spans="1:13" x14ac:dyDescent="0.3">
      <c r="A43" s="106"/>
      <c r="B43" s="106"/>
      <c r="C43" s="106"/>
      <c r="D43" s="106"/>
      <c r="E43" s="118" t="s">
        <v>519</v>
      </c>
      <c r="F43" s="260"/>
      <c r="G43" s="279"/>
      <c r="H43" s="220" t="str">
        <f t="shared" si="5"/>
        <v/>
      </c>
      <c r="I43" s="221" t="str">
        <f t="shared" si="6"/>
        <v/>
      </c>
      <c r="J43" s="222" t="str">
        <f t="shared" si="4"/>
        <v/>
      </c>
      <c r="K43" s="108">
        <v>9</v>
      </c>
      <c r="L43" s="108">
        <f t="shared" si="7"/>
        <v>0</v>
      </c>
    </row>
    <row r="44" spans="1:13" x14ac:dyDescent="0.3">
      <c r="A44" s="106"/>
      <c r="B44" s="106"/>
      <c r="C44" s="106"/>
      <c r="D44" s="106"/>
      <c r="E44" s="118" t="s">
        <v>520</v>
      </c>
      <c r="F44" s="260"/>
      <c r="G44" s="279"/>
      <c r="H44" s="220" t="str">
        <f t="shared" si="5"/>
        <v/>
      </c>
      <c r="I44" s="221" t="str">
        <f t="shared" si="6"/>
        <v/>
      </c>
      <c r="J44" s="222" t="str">
        <f t="shared" si="4"/>
        <v/>
      </c>
      <c r="K44" s="108">
        <v>10</v>
      </c>
      <c r="L44" s="108">
        <f t="shared" si="7"/>
        <v>0</v>
      </c>
    </row>
    <row r="45" spans="1:13" x14ac:dyDescent="0.3">
      <c r="E45" s="118" t="s">
        <v>490</v>
      </c>
      <c r="I45" s="122"/>
    </row>
    <row r="46" spans="1:13" x14ac:dyDescent="0.3">
      <c r="E46" s="118" t="s">
        <v>490</v>
      </c>
      <c r="H46" s="118" t="s">
        <v>510</v>
      </c>
      <c r="I46" s="221">
        <f>SUMPRODUCT(I35:I44,$L35:$L44)</f>
        <v>960</v>
      </c>
      <c r="J46" s="222">
        <f>SUMPRODUCT(J35:J44,$L35:$L44)</f>
        <v>0</v>
      </c>
    </row>
    <row r="47" spans="1:13" ht="15" thickBot="1" x14ac:dyDescent="0.35">
      <c r="E47" s="118" t="s">
        <v>490</v>
      </c>
      <c r="H47" s="113"/>
      <c r="I47" s="121"/>
      <c r="J47" s="113"/>
    </row>
    <row r="48" spans="1:13" ht="24" customHeight="1" thickBot="1" x14ac:dyDescent="0.35">
      <c r="C48" s="442" t="s">
        <v>544</v>
      </c>
      <c r="D48" s="443"/>
      <c r="E48" s="443"/>
      <c r="F48" s="443"/>
      <c r="G48" s="443"/>
      <c r="H48" s="443"/>
      <c r="I48" s="443"/>
      <c r="J48" s="443"/>
      <c r="K48" s="443"/>
      <c r="L48" s="443"/>
      <c r="M48" s="444"/>
    </row>
    <row r="49" spans="1:12" x14ac:dyDescent="0.3">
      <c r="E49" s="118"/>
      <c r="H49" s="113"/>
      <c r="I49" s="121"/>
      <c r="J49" s="113"/>
    </row>
    <row r="50" spans="1:12" ht="15" thickBot="1" x14ac:dyDescent="0.35">
      <c r="C50" s="111" t="s">
        <v>595</v>
      </c>
      <c r="D50" s="111"/>
      <c r="E50" s="259">
        <v>2</v>
      </c>
      <c r="H50" s="113"/>
      <c r="I50" s="121"/>
      <c r="J50" s="113"/>
    </row>
    <row r="51" spans="1:12" ht="15" thickTop="1" x14ac:dyDescent="0.3">
      <c r="E51" s="118"/>
      <c r="F51" s="119" t="s">
        <v>493</v>
      </c>
      <c r="G51" s="120" t="s">
        <v>494</v>
      </c>
      <c r="H51" s="120" t="s">
        <v>495</v>
      </c>
      <c r="I51" s="120" t="s">
        <v>496</v>
      </c>
      <c r="J51" s="120" t="s">
        <v>497</v>
      </c>
    </row>
    <row r="52" spans="1:12" x14ac:dyDescent="0.3">
      <c r="A52" s="106"/>
      <c r="B52" s="106"/>
      <c r="C52" s="106"/>
      <c r="D52" s="106"/>
      <c r="E52" s="118" t="s">
        <v>521</v>
      </c>
      <c r="F52" s="260">
        <v>0</v>
      </c>
      <c r="G52" s="278">
        <v>0.05</v>
      </c>
      <c r="H52" s="220">
        <f>IFERROR(1/G52,"")</f>
        <v>20</v>
      </c>
      <c r="I52" s="221">
        <f>IFERROR(F52*H52*($E$8),"")</f>
        <v>0</v>
      </c>
      <c r="J52" s="222">
        <f t="shared" ref="J52:J61" si="8">IFERROR((I52/$I$91)*$J$91,"")</f>
        <v>0</v>
      </c>
      <c r="K52" s="108">
        <v>1</v>
      </c>
      <c r="L52" s="108">
        <f>IF(K52&lt;=$E$50,1,0)</f>
        <v>1</v>
      </c>
    </row>
    <row r="53" spans="1:12" x14ac:dyDescent="0.3">
      <c r="A53" s="106"/>
      <c r="B53" s="106"/>
      <c r="C53" s="106"/>
      <c r="D53" s="106"/>
      <c r="E53" s="118" t="s">
        <v>522</v>
      </c>
      <c r="F53" s="260">
        <v>10</v>
      </c>
      <c r="G53" s="278">
        <v>0.05</v>
      </c>
      <c r="H53" s="220">
        <f t="shared" ref="H53:H61" si="9">IFERROR(1/G53,"")</f>
        <v>20</v>
      </c>
      <c r="I53" s="221">
        <f t="shared" ref="I53:I61" si="10">IFERROR(F53*H53*($E$8),"")</f>
        <v>14400</v>
      </c>
      <c r="J53" s="222">
        <f t="shared" si="8"/>
        <v>0</v>
      </c>
      <c r="K53" s="108">
        <v>2</v>
      </c>
      <c r="L53" s="108">
        <f t="shared" ref="L53:L61" si="11">IF(K53&lt;=$E$50,1,0)</f>
        <v>1</v>
      </c>
    </row>
    <row r="54" spans="1:12" x14ac:dyDescent="0.3">
      <c r="A54" s="106"/>
      <c r="B54" s="106"/>
      <c r="C54" s="106"/>
      <c r="D54" s="106"/>
      <c r="E54" s="118" t="s">
        <v>523</v>
      </c>
      <c r="F54" s="260">
        <v>10</v>
      </c>
      <c r="G54" s="278">
        <v>7.0000000000000007E-2</v>
      </c>
      <c r="H54" s="220">
        <f t="shared" si="9"/>
        <v>14.285714285714285</v>
      </c>
      <c r="I54" s="221">
        <f t="shared" si="10"/>
        <v>10285.714285714284</v>
      </c>
      <c r="J54" s="222">
        <f t="shared" si="8"/>
        <v>0</v>
      </c>
      <c r="K54" s="108">
        <v>3</v>
      </c>
      <c r="L54" s="108">
        <f t="shared" si="11"/>
        <v>0</v>
      </c>
    </row>
    <row r="55" spans="1:12" x14ac:dyDescent="0.3">
      <c r="A55" s="106"/>
      <c r="B55" s="106"/>
      <c r="C55" s="106"/>
      <c r="D55" s="106"/>
      <c r="E55" s="118" t="s">
        <v>524</v>
      </c>
      <c r="F55" s="260">
        <v>200</v>
      </c>
      <c r="G55" s="278">
        <v>0.02</v>
      </c>
      <c r="H55" s="220">
        <f t="shared" si="9"/>
        <v>50</v>
      </c>
      <c r="I55" s="221">
        <f t="shared" si="10"/>
        <v>720000</v>
      </c>
      <c r="J55" s="222">
        <f t="shared" si="8"/>
        <v>0</v>
      </c>
      <c r="K55" s="108">
        <v>4</v>
      </c>
      <c r="L55" s="108">
        <f t="shared" si="11"/>
        <v>0</v>
      </c>
    </row>
    <row r="56" spans="1:12" x14ac:dyDescent="0.3">
      <c r="A56" s="106"/>
      <c r="B56" s="106"/>
      <c r="C56" s="106"/>
      <c r="D56" s="106"/>
      <c r="E56" s="118" t="s">
        <v>525</v>
      </c>
      <c r="F56" s="260"/>
      <c r="G56" s="278"/>
      <c r="H56" s="220" t="str">
        <f t="shared" si="9"/>
        <v/>
      </c>
      <c r="I56" s="221" t="str">
        <f t="shared" si="10"/>
        <v/>
      </c>
      <c r="J56" s="222" t="str">
        <f t="shared" si="8"/>
        <v/>
      </c>
      <c r="K56" s="108">
        <v>5</v>
      </c>
      <c r="L56" s="108">
        <f t="shared" si="11"/>
        <v>0</v>
      </c>
    </row>
    <row r="57" spans="1:12" x14ac:dyDescent="0.3">
      <c r="A57" s="106"/>
      <c r="B57" s="106"/>
      <c r="C57" s="106"/>
      <c r="D57" s="106"/>
      <c r="E57" s="118" t="s">
        <v>526</v>
      </c>
      <c r="F57" s="260"/>
      <c r="G57" s="278"/>
      <c r="H57" s="220" t="str">
        <f t="shared" si="9"/>
        <v/>
      </c>
      <c r="I57" s="221" t="str">
        <f t="shared" si="10"/>
        <v/>
      </c>
      <c r="J57" s="222" t="str">
        <f t="shared" si="8"/>
        <v/>
      </c>
      <c r="K57" s="108">
        <v>6</v>
      </c>
      <c r="L57" s="108">
        <f t="shared" si="11"/>
        <v>0</v>
      </c>
    </row>
    <row r="58" spans="1:12" x14ac:dyDescent="0.3">
      <c r="A58" s="106"/>
      <c r="B58" s="106"/>
      <c r="C58" s="106"/>
      <c r="D58" s="106"/>
      <c r="E58" s="118" t="s">
        <v>527</v>
      </c>
      <c r="F58" s="260"/>
      <c r="G58" s="278"/>
      <c r="H58" s="220" t="str">
        <f t="shared" si="9"/>
        <v/>
      </c>
      <c r="I58" s="221" t="str">
        <f t="shared" si="10"/>
        <v/>
      </c>
      <c r="J58" s="222" t="str">
        <f t="shared" si="8"/>
        <v/>
      </c>
      <c r="K58" s="108">
        <v>7</v>
      </c>
      <c r="L58" s="108">
        <f t="shared" si="11"/>
        <v>0</v>
      </c>
    </row>
    <row r="59" spans="1:12" x14ac:dyDescent="0.3">
      <c r="A59" s="106"/>
      <c r="B59" s="106"/>
      <c r="C59" s="106"/>
      <c r="D59" s="106"/>
      <c r="E59" s="118" t="s">
        <v>528</v>
      </c>
      <c r="F59" s="260"/>
      <c r="G59" s="278"/>
      <c r="H59" s="220" t="str">
        <f t="shared" si="9"/>
        <v/>
      </c>
      <c r="I59" s="221" t="str">
        <f t="shared" si="10"/>
        <v/>
      </c>
      <c r="J59" s="222" t="str">
        <f t="shared" si="8"/>
        <v/>
      </c>
      <c r="K59" s="108">
        <v>8</v>
      </c>
      <c r="L59" s="108">
        <f t="shared" si="11"/>
        <v>0</v>
      </c>
    </row>
    <row r="60" spans="1:12" x14ac:dyDescent="0.3">
      <c r="A60" s="106"/>
      <c r="B60" s="106"/>
      <c r="C60" s="106"/>
      <c r="D60" s="106"/>
      <c r="E60" s="118" t="s">
        <v>529</v>
      </c>
      <c r="F60" s="260"/>
      <c r="G60" s="278"/>
      <c r="H60" s="220" t="str">
        <f t="shared" si="9"/>
        <v/>
      </c>
      <c r="I60" s="221" t="str">
        <f t="shared" si="10"/>
        <v/>
      </c>
      <c r="J60" s="222" t="str">
        <f t="shared" si="8"/>
        <v/>
      </c>
      <c r="K60" s="108">
        <v>9</v>
      </c>
      <c r="L60" s="108">
        <f t="shared" si="11"/>
        <v>0</v>
      </c>
    </row>
    <row r="61" spans="1:12" x14ac:dyDescent="0.3">
      <c r="A61" s="106"/>
      <c r="B61" s="106"/>
      <c r="C61" s="106"/>
      <c r="D61" s="106"/>
      <c r="E61" s="118" t="s">
        <v>530</v>
      </c>
      <c r="F61" s="260"/>
      <c r="G61" s="278"/>
      <c r="H61" s="220" t="str">
        <f t="shared" si="9"/>
        <v/>
      </c>
      <c r="I61" s="221" t="str">
        <f t="shared" si="10"/>
        <v/>
      </c>
      <c r="J61" s="222" t="str">
        <f t="shared" si="8"/>
        <v/>
      </c>
      <c r="K61" s="108">
        <v>10</v>
      </c>
      <c r="L61" s="108">
        <f t="shared" si="11"/>
        <v>0</v>
      </c>
    </row>
    <row r="62" spans="1:12" x14ac:dyDescent="0.3">
      <c r="E62" s="118" t="s">
        <v>490</v>
      </c>
    </row>
    <row r="63" spans="1:12" x14ac:dyDescent="0.3">
      <c r="E63" s="118" t="s">
        <v>490</v>
      </c>
      <c r="H63" s="118" t="s">
        <v>510</v>
      </c>
      <c r="I63" s="221">
        <f>SUMPRODUCT(I52:I61,$L52:$L61)</f>
        <v>14400</v>
      </c>
      <c r="J63" s="222">
        <f>SUMPRODUCT(J52:J61,$L52:$L61)</f>
        <v>0</v>
      </c>
    </row>
    <row r="64" spans="1:12" ht="15" thickBot="1" x14ac:dyDescent="0.35">
      <c r="E64" s="118" t="s">
        <v>490</v>
      </c>
      <c r="H64" s="113"/>
      <c r="I64" s="113"/>
      <c r="J64" s="113"/>
    </row>
    <row r="65" spans="1:13" ht="24" customHeight="1" thickBot="1" x14ac:dyDescent="0.35">
      <c r="C65" s="442" t="s">
        <v>545</v>
      </c>
      <c r="D65" s="443"/>
      <c r="E65" s="443"/>
      <c r="F65" s="443"/>
      <c r="G65" s="443"/>
      <c r="H65" s="443"/>
      <c r="I65" s="443"/>
      <c r="J65" s="443"/>
      <c r="K65" s="443"/>
      <c r="L65" s="443"/>
      <c r="M65" s="444"/>
    </row>
    <row r="66" spans="1:13" x14ac:dyDescent="0.3">
      <c r="C66" s="118"/>
      <c r="E66" s="118"/>
      <c r="H66" s="113"/>
      <c r="I66" s="113"/>
      <c r="J66" s="113"/>
    </row>
    <row r="67" spans="1:13" x14ac:dyDescent="0.3">
      <c r="E67" s="111" t="s">
        <v>534</v>
      </c>
      <c r="F67" s="261">
        <v>24</v>
      </c>
      <c r="H67" s="113"/>
      <c r="I67" s="113"/>
      <c r="J67" s="113"/>
    </row>
    <row r="68" spans="1:13" x14ac:dyDescent="0.3">
      <c r="E68" s="111" t="s">
        <v>533</v>
      </c>
      <c r="F68" s="261" t="s">
        <v>76</v>
      </c>
      <c r="H68" s="113"/>
      <c r="I68" s="113"/>
      <c r="J68" s="113"/>
    </row>
    <row r="69" spans="1:13" x14ac:dyDescent="0.3">
      <c r="C69" s="118"/>
      <c r="E69" s="118"/>
      <c r="H69" s="113"/>
      <c r="I69" s="113"/>
      <c r="J69" s="113"/>
    </row>
    <row r="70" spans="1:13" x14ac:dyDescent="0.3">
      <c r="A70" s="113"/>
      <c r="B70" s="113"/>
      <c r="C70" s="118" t="s">
        <v>490</v>
      </c>
      <c r="F70" s="120" t="s">
        <v>531</v>
      </c>
      <c r="G70" s="120" t="s">
        <v>494</v>
      </c>
      <c r="I70" s="120" t="s">
        <v>496</v>
      </c>
      <c r="J70" s="120" t="s">
        <v>497</v>
      </c>
    </row>
    <row r="71" spans="1:13" x14ac:dyDescent="0.3">
      <c r="A71" s="106"/>
      <c r="B71" s="106"/>
      <c r="E71" s="118" t="s">
        <v>532</v>
      </c>
      <c r="F71" s="262">
        <v>60</v>
      </c>
      <c r="G71" s="279">
        <v>20</v>
      </c>
      <c r="I71" s="221">
        <f>F71*('2.Energy Consumption'!E8)*VLOOKUP(E11&amp;"_"&amp;F68&amp;"_"&amp;F67&amp;"_"&amp;G71,'0. dropdown 2'!E:F,2,0)</f>
        <v>2203.1999999999998</v>
      </c>
      <c r="J71" s="222">
        <f>(I71/$I$91)*$J$91</f>
        <v>0</v>
      </c>
    </row>
    <row r="72" spans="1:13" ht="15" thickBot="1" x14ac:dyDescent="0.35">
      <c r="C72" s="118" t="s">
        <v>490</v>
      </c>
      <c r="I72"/>
    </row>
    <row r="73" spans="1:13" ht="24" customHeight="1" thickBot="1" x14ac:dyDescent="0.35">
      <c r="C73" s="442" t="s">
        <v>546</v>
      </c>
      <c r="D73" s="443"/>
      <c r="E73" s="443"/>
      <c r="F73" s="443"/>
      <c r="G73" s="443"/>
      <c r="H73" s="443"/>
      <c r="I73" s="443"/>
      <c r="J73" s="443"/>
      <c r="K73" s="443"/>
      <c r="L73" s="443"/>
      <c r="M73" s="444"/>
    </row>
    <row r="74" spans="1:13" x14ac:dyDescent="0.3">
      <c r="C74" s="118"/>
      <c r="G74" s="106"/>
      <c r="H74" s="109"/>
      <c r="I74" s="113"/>
      <c r="J74" s="113"/>
    </row>
    <row r="75" spans="1:13" x14ac:dyDescent="0.3">
      <c r="E75" s="111" t="s">
        <v>547</v>
      </c>
      <c r="F75" s="281" t="s">
        <v>80</v>
      </c>
      <c r="G75" s="106"/>
      <c r="H75" s="106"/>
      <c r="I75" s="120" t="s">
        <v>496</v>
      </c>
      <c r="J75" s="120" t="s">
        <v>497</v>
      </c>
    </row>
    <row r="76" spans="1:13" x14ac:dyDescent="0.3">
      <c r="D76" s="118"/>
      <c r="E76" s="111" t="s">
        <v>548</v>
      </c>
      <c r="F76" s="223">
        <f>VLOOKUP(F75,'0. Heat loss data'!A3:B5,2)</f>
        <v>0.5</v>
      </c>
      <c r="G76" s="106"/>
      <c r="H76" s="106"/>
      <c r="I76" s="224">
        <f>F76*'0. Heat loss data'!E3*'2.Energy Consumption'!E10*'2.Energy Consumption'!E8</f>
        <v>1296</v>
      </c>
      <c r="J76" s="222">
        <f>(I76/I91)*J91</f>
        <v>0</v>
      </c>
    </row>
    <row r="77" spans="1:13" ht="15" thickBot="1" x14ac:dyDescent="0.35">
      <c r="D77" s="118"/>
      <c r="J77" s="106"/>
      <c r="K77" s="106"/>
    </row>
    <row r="78" spans="1:13" ht="24" customHeight="1" thickBot="1" x14ac:dyDescent="0.35">
      <c r="C78" s="442" t="s">
        <v>549</v>
      </c>
      <c r="D78" s="443"/>
      <c r="E78" s="443"/>
      <c r="F78" s="443"/>
      <c r="G78" s="443"/>
      <c r="H78" s="443"/>
      <c r="I78" s="443"/>
      <c r="J78" s="443"/>
      <c r="K78" s="443"/>
      <c r="L78" s="443"/>
      <c r="M78" s="444"/>
    </row>
    <row r="79" spans="1:13" x14ac:dyDescent="0.3">
      <c r="D79" s="118"/>
      <c r="I79" s="43"/>
      <c r="J79" s="106"/>
      <c r="K79" s="106"/>
    </row>
    <row r="80" spans="1:13" x14ac:dyDescent="0.3">
      <c r="K80" s="106"/>
    </row>
    <row r="81" spans="3:21" x14ac:dyDescent="0.3">
      <c r="C81" s="132"/>
      <c r="D81" s="132"/>
      <c r="E81" s="132"/>
      <c r="F81" s="132"/>
      <c r="G81" s="132"/>
      <c r="K81" s="106"/>
    </row>
    <row r="82" spans="3:21" x14ac:dyDescent="0.3">
      <c r="C82" s="132"/>
      <c r="D82" s="132"/>
      <c r="E82" s="132"/>
      <c r="F82" s="132"/>
      <c r="G82" s="133"/>
      <c r="H82" s="136"/>
      <c r="I82" s="137"/>
      <c r="J82" s="137"/>
      <c r="K82" s="137"/>
      <c r="L82" s="137"/>
      <c r="M82" s="137"/>
    </row>
    <row r="83" spans="3:21" x14ac:dyDescent="0.3">
      <c r="C83" s="132"/>
      <c r="D83" s="132"/>
      <c r="E83" s="132"/>
      <c r="F83" s="132"/>
      <c r="G83" s="134"/>
      <c r="H83" s="111"/>
      <c r="I83" s="120" t="s">
        <v>496</v>
      </c>
      <c r="J83" s="120" t="s">
        <v>497</v>
      </c>
      <c r="K83" s="106"/>
      <c r="L83" s="106"/>
      <c r="M83" s="106"/>
    </row>
    <row r="84" spans="3:21" x14ac:dyDescent="0.3">
      <c r="C84" s="132"/>
      <c r="D84" s="132"/>
      <c r="E84" s="132"/>
      <c r="F84" s="132"/>
      <c r="G84" s="114"/>
      <c r="H84" s="111" t="s">
        <v>550</v>
      </c>
      <c r="I84" s="221">
        <f>I29</f>
        <v>3240</v>
      </c>
      <c r="J84" s="222">
        <f>J29</f>
        <v>0</v>
      </c>
      <c r="K84" s="106"/>
      <c r="L84" s="106"/>
      <c r="M84" s="106"/>
      <c r="N84" s="114"/>
    </row>
    <row r="85" spans="3:21" ht="15.6" customHeight="1" x14ac:dyDescent="0.3">
      <c r="C85" s="132"/>
      <c r="D85" s="132"/>
      <c r="E85" s="132"/>
      <c r="F85" s="132"/>
      <c r="G85" s="132"/>
      <c r="H85" s="111" t="s">
        <v>551</v>
      </c>
      <c r="I85" s="221">
        <f>I46</f>
        <v>960</v>
      </c>
      <c r="J85" s="222">
        <f>J46</f>
        <v>0</v>
      </c>
      <c r="K85" s="106"/>
      <c r="L85" s="106"/>
      <c r="M85" s="106"/>
    </row>
    <row r="86" spans="3:21" ht="15.6" customHeight="1" x14ac:dyDescent="0.3">
      <c r="C86" s="132"/>
      <c r="D86" s="132"/>
      <c r="E86" s="132"/>
      <c r="F86" s="132"/>
      <c r="G86" s="132"/>
      <c r="H86" s="111" t="s">
        <v>552</v>
      </c>
      <c r="I86" s="221">
        <f>I63</f>
        <v>14400</v>
      </c>
      <c r="J86" s="222">
        <f>J63</f>
        <v>0</v>
      </c>
      <c r="K86" s="128"/>
      <c r="L86" s="106"/>
      <c r="M86" s="106"/>
    </row>
    <row r="87" spans="3:21" ht="15.6" customHeight="1" x14ac:dyDescent="0.3">
      <c r="C87" s="132"/>
      <c r="D87" s="132"/>
      <c r="E87" s="132"/>
      <c r="F87" s="132"/>
      <c r="G87" s="132"/>
      <c r="H87" s="111" t="s">
        <v>491</v>
      </c>
      <c r="I87" s="221">
        <f>I71</f>
        <v>2203.1999999999998</v>
      </c>
      <c r="J87" s="222">
        <f>J71</f>
        <v>0</v>
      </c>
      <c r="K87" s="106"/>
      <c r="L87" s="106"/>
      <c r="M87" s="106"/>
    </row>
    <row r="88" spans="3:21" ht="15.6" customHeight="1" x14ac:dyDescent="0.3">
      <c r="F88" s="130"/>
      <c r="G88" s="130"/>
      <c r="H88" s="111" t="s">
        <v>553</v>
      </c>
      <c r="I88" s="221">
        <f>I76</f>
        <v>1296</v>
      </c>
      <c r="J88" s="222">
        <f>J76</f>
        <v>0</v>
      </c>
      <c r="K88" s="106"/>
      <c r="L88" s="106"/>
      <c r="M88" s="106"/>
    </row>
    <row r="89" spans="3:21" ht="15.6" customHeight="1" x14ac:dyDescent="0.3">
      <c r="F89" s="135"/>
      <c r="G89" s="135"/>
      <c r="H89" s="106"/>
      <c r="I89" s="106"/>
      <c r="J89" s="106"/>
      <c r="K89" s="106"/>
      <c r="L89" s="106"/>
      <c r="M89" s="106"/>
    </row>
    <row r="90" spans="3:21" ht="15.6" customHeight="1" x14ac:dyDescent="0.3">
      <c r="H90" s="106"/>
      <c r="I90" s="106"/>
      <c r="J90" s="106"/>
      <c r="K90" s="106"/>
      <c r="L90" s="106"/>
      <c r="M90" s="106"/>
    </row>
    <row r="91" spans="3:21" ht="16.2" customHeight="1" x14ac:dyDescent="0.3">
      <c r="H91" s="131" t="s">
        <v>554</v>
      </c>
      <c r="I91" s="240">
        <f>I29+I46+I63+I71+I76</f>
        <v>22099.200000000001</v>
      </c>
      <c r="J91" s="241">
        <f>'3.Heat Loss &amp; Cost'!E34</f>
        <v>0</v>
      </c>
      <c r="K91" s="106"/>
      <c r="L91" s="106"/>
      <c r="M91" s="106"/>
      <c r="N91" s="439" t="s">
        <v>599</v>
      </c>
      <c r="O91" s="439"/>
      <c r="P91" s="439"/>
      <c r="Q91" s="439"/>
      <c r="R91" s="439"/>
      <c r="S91" s="439"/>
      <c r="T91" s="439"/>
      <c r="U91" s="439"/>
    </row>
    <row r="92" spans="3:21" ht="14.4" customHeight="1" x14ac:dyDescent="0.3">
      <c r="H92" s="106"/>
      <c r="I92" s="106"/>
      <c r="J92" s="106"/>
      <c r="K92" s="106"/>
      <c r="L92" s="106"/>
      <c r="M92" s="106"/>
      <c r="N92" s="439"/>
      <c r="O92" s="439"/>
      <c r="P92" s="439"/>
      <c r="Q92" s="439"/>
      <c r="R92" s="439"/>
      <c r="S92" s="439"/>
      <c r="T92" s="439"/>
      <c r="U92" s="439"/>
    </row>
    <row r="93" spans="3:21" ht="14.4" customHeight="1" x14ac:dyDescent="0.3">
      <c r="N93" s="440" t="s">
        <v>597</v>
      </c>
      <c r="O93" s="439"/>
      <c r="P93" s="439"/>
      <c r="Q93" s="439"/>
      <c r="R93" s="439"/>
      <c r="S93" s="439"/>
      <c r="T93" s="439"/>
      <c r="U93" s="439"/>
    </row>
  </sheetData>
  <sheetProtection password="F31D" sheet="1" objects="1" scenarios="1" formatCells="0" selectLockedCells="1" sort="0" autoFilter="0"/>
  <mergeCells count="17">
    <mergeCell ref="B1:M1"/>
    <mergeCell ref="C48:M48"/>
    <mergeCell ref="C65:M65"/>
    <mergeCell ref="C73:M73"/>
    <mergeCell ref="C78:M78"/>
    <mergeCell ref="B2:M2"/>
    <mergeCell ref="C14:M14"/>
    <mergeCell ref="C31:M31"/>
    <mergeCell ref="E7:G7"/>
    <mergeCell ref="E5:G5"/>
    <mergeCell ref="E6:G6"/>
    <mergeCell ref="E8:G8"/>
    <mergeCell ref="E9:G9"/>
    <mergeCell ref="E10:G10"/>
    <mergeCell ref="E11:G11"/>
    <mergeCell ref="N91:U92"/>
    <mergeCell ref="N93:U93"/>
  </mergeCells>
  <conditionalFormatting sqref="J35:J44">
    <cfRule type="dataBar" priority="10">
      <dataBar>
        <cfvo type="min"/>
        <cfvo type="max"/>
        <color rgb="FFFF555A"/>
      </dataBar>
      <extLst>
        <ext xmlns:x14="http://schemas.microsoft.com/office/spreadsheetml/2009/9/main" uri="{B025F937-C7B1-47D3-B67F-A62EFF666E3E}">
          <x14:id>{BE7C4ECA-D86E-49E9-87F8-8810C363C5BA}</x14:id>
        </ext>
      </extLst>
    </cfRule>
  </conditionalFormatting>
  <conditionalFormatting sqref="J52:J61">
    <cfRule type="dataBar" priority="9">
      <dataBar>
        <cfvo type="min"/>
        <cfvo type="max"/>
        <color rgb="FFFF555A"/>
      </dataBar>
      <extLst>
        <ext xmlns:x14="http://schemas.microsoft.com/office/spreadsheetml/2009/9/main" uri="{B025F937-C7B1-47D3-B67F-A62EFF666E3E}">
          <x14:id>{85B7C93B-28DB-44EF-A232-EA894F866940}</x14:id>
        </ext>
      </extLst>
    </cfRule>
  </conditionalFormatting>
  <conditionalFormatting sqref="J18:J27">
    <cfRule type="dataBar" priority="8">
      <dataBar>
        <cfvo type="min"/>
        <cfvo type="max"/>
        <color rgb="FFFF555A"/>
      </dataBar>
      <extLst>
        <ext xmlns:x14="http://schemas.microsoft.com/office/spreadsheetml/2009/9/main" uri="{B025F937-C7B1-47D3-B67F-A62EFF666E3E}">
          <x14:id>{5FBDAFFC-7689-4DBE-9F4F-30C9822394EF}</x14:id>
        </ext>
      </extLst>
    </cfRule>
  </conditionalFormatting>
  <conditionalFormatting sqref="J84:J88">
    <cfRule type="dataBar" priority="7">
      <dataBar>
        <cfvo type="min"/>
        <cfvo type="max"/>
        <color rgb="FFFF555A"/>
      </dataBar>
      <extLst>
        <ext xmlns:x14="http://schemas.microsoft.com/office/spreadsheetml/2009/9/main" uri="{B025F937-C7B1-47D3-B67F-A62EFF666E3E}">
          <x14:id>{36177C04-CBED-414B-8460-4D29C4036CDD}</x14:id>
        </ext>
      </extLst>
    </cfRule>
  </conditionalFormatting>
  <conditionalFormatting sqref="E19:L27">
    <cfRule type="expression" dxfId="13" priority="6" stopIfTrue="1">
      <formula>$K19&gt;$E$16</formula>
    </cfRule>
  </conditionalFormatting>
  <conditionalFormatting sqref="E36:L44">
    <cfRule type="expression" dxfId="12" priority="5" stopIfTrue="1">
      <formula>$K36&gt;$E$33</formula>
    </cfRule>
  </conditionalFormatting>
  <conditionalFormatting sqref="E53:L61">
    <cfRule type="expression" dxfId="11" priority="4" stopIfTrue="1">
      <formula>$K53&gt;$E$50</formula>
    </cfRule>
  </conditionalFormatting>
  <conditionalFormatting sqref="E17:J18">
    <cfRule type="expression" dxfId="10" priority="3" stopIfTrue="1">
      <formula>$E$16=0</formula>
    </cfRule>
  </conditionalFormatting>
  <conditionalFormatting sqref="G36:G44">
    <cfRule type="expression" dxfId="9" priority="2" stopIfTrue="1">
      <formula>$K36&gt;$E$16</formula>
    </cfRule>
  </conditionalFormatting>
  <conditionalFormatting sqref="G35">
    <cfRule type="expression" dxfId="8" priority="1" stopIfTrue="1">
      <formula>$E$16=0</formula>
    </cfRule>
  </conditionalFormatting>
  <dataValidations count="7">
    <dataValidation type="list" allowBlank="1" showInputMessage="1" showErrorMessage="1" sqref="F75">
      <formula1>"Leaky, Tight, Very Tight"</formula1>
    </dataValidation>
    <dataValidation type="list" allowBlank="1" showInputMessage="1" showErrorMessage="1" sqref="F67">
      <formula1>"0,12,24,36,48"</formula1>
    </dataValidation>
    <dataValidation type="list" allowBlank="1" showInputMessage="1" showErrorMessage="1" sqref="E50 E33">
      <formula1>"1,2,3,4,5,6,7,8,9,10"</formula1>
    </dataValidation>
    <dataValidation type="list" allowBlank="1" showInputMessage="1" showErrorMessage="1" sqref="F68">
      <formula1>"Horizontal, Vertical"</formula1>
    </dataValidation>
    <dataValidation type="list" allowBlank="1" showInputMessage="1" showErrorMessage="1" sqref="E11:G11">
      <formula1>"Yes,No"</formula1>
    </dataValidation>
    <dataValidation type="list" allowBlank="1" showInputMessage="1" showErrorMessage="1" sqref="E16">
      <formula1>"0,1,2,3,4,5,6,7,8,9,10"</formula1>
    </dataValidation>
    <dataValidation type="list" allowBlank="1" showInputMessage="1" showErrorMessage="1" sqref="G18:G27 G35:G44">
      <formula1>"5,10,15,20,25,30,35,40"</formula1>
    </dataValidation>
  </dataValidations>
  <hyperlinks>
    <hyperlink ref="N93" r:id="rId1"/>
  </hyperlinks>
  <pageMargins left="0.7" right="0.7" top="0.75" bottom="0.75" header="0.3" footer="0.3"/>
  <pageSetup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dataBar" id="{BE7C4ECA-D86E-49E9-87F8-8810C363C5BA}">
            <x14:dataBar minLength="0" maxLength="100" gradient="0">
              <x14:cfvo type="autoMin"/>
              <x14:cfvo type="autoMax"/>
              <x14:negativeFillColor rgb="FFFF0000"/>
              <x14:axisColor rgb="FF000000"/>
            </x14:dataBar>
          </x14:cfRule>
          <xm:sqref>J35:J44</xm:sqref>
        </x14:conditionalFormatting>
        <x14:conditionalFormatting xmlns:xm="http://schemas.microsoft.com/office/excel/2006/main">
          <x14:cfRule type="dataBar" id="{85B7C93B-28DB-44EF-A232-EA894F866940}">
            <x14:dataBar minLength="0" maxLength="100" gradient="0">
              <x14:cfvo type="autoMin"/>
              <x14:cfvo type="autoMax"/>
              <x14:negativeFillColor rgb="FFFF0000"/>
              <x14:axisColor rgb="FF000000"/>
            </x14:dataBar>
          </x14:cfRule>
          <xm:sqref>J52:J61</xm:sqref>
        </x14:conditionalFormatting>
        <x14:conditionalFormatting xmlns:xm="http://schemas.microsoft.com/office/excel/2006/main">
          <x14:cfRule type="dataBar" id="{5FBDAFFC-7689-4DBE-9F4F-30C9822394EF}">
            <x14:dataBar minLength="0" maxLength="100" border="1" negativeBarBorderColorSameAsPositive="0">
              <x14:cfvo type="autoMin"/>
              <x14:cfvo type="autoMax"/>
              <x14:borderColor rgb="FFFF555A"/>
              <x14:negativeFillColor rgb="FFFF0000"/>
              <x14:negativeBorderColor rgb="FFFF0000"/>
              <x14:axisColor rgb="FF000000"/>
            </x14:dataBar>
          </x14:cfRule>
          <xm:sqref>J18:J27</xm:sqref>
        </x14:conditionalFormatting>
        <x14:conditionalFormatting xmlns:xm="http://schemas.microsoft.com/office/excel/2006/main">
          <x14:cfRule type="dataBar" id="{36177C04-CBED-414B-8460-4D29C4036CDD}">
            <x14:dataBar minLength="0" maxLength="100" gradient="0">
              <x14:cfvo type="autoMin"/>
              <x14:cfvo type="autoMax"/>
              <x14:negativeFillColor rgb="FFFF0000"/>
              <x14:axisColor rgb="FF000000"/>
            </x14:dataBar>
          </x14:cfRule>
          <xm:sqref>J84:J88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'0. dropdown 2'!$P$2:$P$28</xm:f>
          </x14:formula1>
          <xm:sqref>G71</xm:sqref>
        </x14:dataValidation>
        <x14:dataValidation type="list" allowBlank="1" showInputMessage="1" showErrorMessage="1">
          <x14:formula1>
            <xm:f>'0. dropdown 3'!$K$2:$K$501</xm:f>
          </x14:formula1>
          <xm:sqref>G52:G61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0. dropdown 1</vt:lpstr>
      <vt:lpstr>0. dropdown 2</vt:lpstr>
      <vt:lpstr>0. Heat loss data</vt:lpstr>
      <vt:lpstr>Drop Down Menu Data</vt:lpstr>
      <vt:lpstr>0. Wood Heating Value Data</vt:lpstr>
      <vt:lpstr>0. dropdown 3</vt:lpstr>
      <vt:lpstr>Menu</vt:lpstr>
      <vt:lpstr>1.Climate Data</vt:lpstr>
      <vt:lpstr>2.Energy Consumption</vt:lpstr>
      <vt:lpstr>3.Heat Loss &amp; Cost</vt:lpstr>
      <vt:lpstr>4.Thermal Mass Calculator</vt:lpstr>
      <vt:lpstr>5.Light Design</vt:lpstr>
      <vt:lpstr>6.SH&amp;C Design</vt:lpstr>
      <vt:lpstr>Report</vt:lpstr>
      <vt:lpstr>Unit Conversion Sheet</vt:lpstr>
      <vt:lpstr>Dh</vt:lpstr>
      <vt:lpstr>eps</vt:lpstr>
      <vt:lpstr>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Avis</dc:creator>
  <cp:lastModifiedBy>Guillaume Smrkolj</cp:lastModifiedBy>
  <cp:lastPrinted>2017-03-07T17:10:33Z</cp:lastPrinted>
  <dcterms:created xsi:type="dcterms:W3CDTF">2017-02-17T16:57:16Z</dcterms:created>
  <dcterms:modified xsi:type="dcterms:W3CDTF">2017-04-19T14:02:58Z</dcterms:modified>
</cp:coreProperties>
</file>